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eysighttech-my.sharepoint.com/personal/chin-aik_lee_keysight_com/Documents/Desktop/"/>
    </mc:Choice>
  </mc:AlternateContent>
  <xr:revisionPtr revIDLastSave="229" documentId="8_{14074E85-733E-4083-A621-6493533D0655}" xr6:coauthVersionLast="47" xr6:coauthVersionMax="47" xr10:uidLastSave="{0A4CE987-86B8-41BA-9D6D-FB1AE49AB744}"/>
  <workbookProtection workbookAlgorithmName="SHA-512" workbookHashValue="2zyX3/+HhZZzRlQFOdmXZoBKJweAXGIlyRobVttiTgVAX+vdmiRYAcTWyPaVkHecMGZ8JM3RjZirr0Bk/zrbGQ==" workbookSaltValue="2ZpV2HuqDZZytKbWeCeKHw==" workbookSpinCount="100000" lockStructure="1"/>
  <bookViews>
    <workbookView xWindow="28680" yWindow="-120" windowWidth="29040" windowHeight="15720" xr2:uid="{00000000-000D-0000-FFFF-FFFF00000000}"/>
  </bookViews>
  <sheets>
    <sheet name="Calculator" sheetId="1" r:id="rId1"/>
    <sheet name="Data" sheetId="2" state="hidden" r:id="rId2"/>
    <sheet name="Revision history" sheetId="3" r:id="rId3"/>
  </sheets>
  <definedNames>
    <definedName name="averaging">Data!$B$9:$L$9</definedName>
    <definedName name="noise">Data!$A$3:$A$4</definedName>
    <definedName name="sensor">Data!$B$46:$H$46</definedName>
    <definedName name="VBW">Data!$B$18:$B$21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9" i="2" l="1"/>
  <c r="D119" i="2"/>
  <c r="E119" i="2"/>
  <c r="C119" i="2" l="1"/>
  <c r="B119" i="2"/>
  <c r="G52" i="2" l="1"/>
  <c r="B92" i="2" l="1"/>
  <c r="B91" i="2"/>
  <c r="D29" i="1"/>
  <c r="B81" i="2" s="1"/>
  <c r="B42" i="2" l="1"/>
  <c r="B38" i="2"/>
  <c r="B109" i="2"/>
  <c r="B112" i="2"/>
  <c r="O27" i="2"/>
  <c r="S87" i="2" l="1"/>
  <c r="S86" i="2"/>
  <c r="E10" i="1" l="1"/>
  <c r="C118" i="2"/>
  <c r="C117" i="2"/>
  <c r="C116" i="2"/>
  <c r="C115" i="2"/>
  <c r="C114" i="2"/>
  <c r="B118" i="2"/>
  <c r="E5" i="1" s="1"/>
  <c r="B117" i="2"/>
  <c r="B116" i="2"/>
  <c r="B115" i="2"/>
  <c r="B114" i="2"/>
  <c r="C113" i="2"/>
  <c r="B113" i="2"/>
  <c r="B108" i="2"/>
  <c r="B107" i="2"/>
  <c r="B106" i="2"/>
  <c r="B105" i="2"/>
  <c r="B104" i="2"/>
  <c r="B103" i="2"/>
  <c r="N93" i="2"/>
  <c r="N94" i="2" s="1"/>
  <c r="D66" i="2"/>
  <c r="E66" i="2"/>
  <c r="F66" i="2"/>
  <c r="G66" i="2"/>
  <c r="H66" i="2"/>
  <c r="D61" i="2"/>
  <c r="E61" i="2"/>
  <c r="F61" i="2"/>
  <c r="G61" i="2"/>
  <c r="H61" i="2"/>
  <c r="D62" i="2"/>
  <c r="E62" i="2"/>
  <c r="F62" i="2"/>
  <c r="G62" i="2"/>
  <c r="H62" i="2"/>
  <c r="D63" i="2"/>
  <c r="E63" i="2"/>
  <c r="F63" i="2"/>
  <c r="G63" i="2"/>
  <c r="H63" i="2"/>
  <c r="D64" i="2"/>
  <c r="E64" i="2"/>
  <c r="F64" i="2"/>
  <c r="G64" i="2"/>
  <c r="H64" i="2"/>
  <c r="D65" i="2"/>
  <c r="E65" i="2"/>
  <c r="F65" i="2"/>
  <c r="G65" i="2"/>
  <c r="H65" i="2"/>
  <c r="D67" i="2"/>
  <c r="E67" i="2"/>
  <c r="F67" i="2"/>
  <c r="G67" i="2"/>
  <c r="H67" i="2"/>
  <c r="D68" i="2"/>
  <c r="E68" i="2"/>
  <c r="F68" i="2"/>
  <c r="G68" i="2"/>
  <c r="H68" i="2"/>
  <c r="D69" i="2"/>
  <c r="E69" i="2"/>
  <c r="F69" i="2"/>
  <c r="G69" i="2"/>
  <c r="H69" i="2"/>
  <c r="D70" i="2"/>
  <c r="E70" i="2"/>
  <c r="F70" i="2"/>
  <c r="G70" i="2"/>
  <c r="H70" i="2"/>
  <c r="D71" i="2"/>
  <c r="E71" i="2"/>
  <c r="F71" i="2"/>
  <c r="G71" i="2"/>
  <c r="H71" i="2"/>
  <c r="D72" i="2"/>
  <c r="E72" i="2"/>
  <c r="F72" i="2"/>
  <c r="G72" i="2"/>
  <c r="H72" i="2"/>
  <c r="D73" i="2"/>
  <c r="E73" i="2"/>
  <c r="F73" i="2"/>
  <c r="G73" i="2"/>
  <c r="H73" i="2"/>
  <c r="D74" i="2"/>
  <c r="E74" i="2"/>
  <c r="F74" i="2"/>
  <c r="G74" i="2"/>
  <c r="H74" i="2"/>
  <c r="D75" i="2"/>
  <c r="E75" i="2"/>
  <c r="F75" i="2"/>
  <c r="G75" i="2"/>
  <c r="H75" i="2"/>
  <c r="D76" i="2"/>
  <c r="E76" i="2"/>
  <c r="F76" i="2"/>
  <c r="G76" i="2"/>
  <c r="H76" i="2"/>
  <c r="E60" i="2"/>
  <c r="F60" i="2"/>
  <c r="G60" i="2"/>
  <c r="H60" i="2"/>
  <c r="D60" i="2"/>
  <c r="O88" i="2" l="1"/>
  <c r="S89" i="2" s="1"/>
  <c r="C137" i="2"/>
  <c r="D137" i="2"/>
  <c r="E137" i="2"/>
  <c r="F137" i="2"/>
  <c r="C138" i="2"/>
  <c r="D138" i="2"/>
  <c r="E138" i="2"/>
  <c r="F138" i="2"/>
  <c r="C139" i="2"/>
  <c r="D139" i="2"/>
  <c r="E139" i="2"/>
  <c r="F139" i="2"/>
  <c r="C140" i="2"/>
  <c r="D140" i="2"/>
  <c r="E140" i="2"/>
  <c r="F140" i="2"/>
  <c r="C141" i="2"/>
  <c r="J136" i="2" s="1"/>
  <c r="D25" i="1" s="1"/>
  <c r="D141" i="2"/>
  <c r="E141" i="2"/>
  <c r="F141" i="2"/>
  <c r="C142" i="2"/>
  <c r="D142" i="2"/>
  <c r="E142" i="2"/>
  <c r="F142" i="2"/>
  <c r="C143" i="2"/>
  <c r="D143" i="2"/>
  <c r="E143" i="2"/>
  <c r="F143" i="2"/>
  <c r="C144" i="2"/>
  <c r="D144" i="2"/>
  <c r="E144" i="2"/>
  <c r="F144" i="2"/>
  <c r="C145" i="2"/>
  <c r="D145" i="2"/>
  <c r="E145" i="2"/>
  <c r="F145" i="2"/>
  <c r="B138" i="2"/>
  <c r="B139" i="2"/>
  <c r="B140" i="2"/>
  <c r="B141" i="2"/>
  <c r="B142" i="2"/>
  <c r="B143" i="2"/>
  <c r="B144" i="2"/>
  <c r="B145" i="2"/>
  <c r="B137" i="2"/>
  <c r="H41" i="2"/>
  <c r="G41" i="2"/>
  <c r="F41" i="2"/>
  <c r="E41" i="2"/>
  <c r="D41" i="2"/>
  <c r="D24" i="1" l="1"/>
  <c r="H37" i="2"/>
  <c r="G37" i="2"/>
  <c r="F37" i="2"/>
  <c r="E37" i="2"/>
  <c r="D37" i="2"/>
  <c r="L13" i="2"/>
  <c r="O23" i="2"/>
  <c r="M23" i="2"/>
  <c r="M24" i="2" l="1"/>
  <c r="M27" i="2" s="1"/>
  <c r="D22" i="1"/>
  <c r="C112" i="2" l="1"/>
  <c r="F87" i="2" l="1"/>
  <c r="B88" i="2" s="1"/>
  <c r="B102" i="2" l="1"/>
  <c r="E6" i="1" s="1"/>
  <c r="F23" i="2"/>
  <c r="B82" i="2"/>
  <c r="C82" i="2" s="1"/>
  <c r="D30" i="1"/>
  <c r="C81" i="2"/>
  <c r="E25" i="1"/>
  <c r="G5" i="1"/>
  <c r="S90" i="2" s="1"/>
  <c r="S91" i="2" s="1"/>
  <c r="B90" i="2" s="1"/>
  <c r="D23" i="2"/>
  <c r="B23" i="2"/>
  <c r="B12" i="2"/>
  <c r="M33" i="2" l="1"/>
  <c r="E22" i="1"/>
  <c r="E24" i="1"/>
  <c r="B24" i="2"/>
  <c r="B26" i="2" l="1"/>
  <c r="B27" i="2" s="1"/>
  <c r="B29" i="2" s="1"/>
  <c r="D21" i="1" s="1"/>
  <c r="B32" i="2" l="1"/>
  <c r="B34" i="2" l="1"/>
  <c r="E21" i="1" s="1"/>
  <c r="E23" i="1" s="1"/>
  <c r="E26" i="1" s="1"/>
  <c r="E31" i="1" s="1"/>
  <c r="E33" i="1" s="1"/>
  <c r="E34" i="1" l="1"/>
  <c r="E35" i="1"/>
</calcChain>
</file>

<file path=xl/sharedStrings.xml><?xml version="1.0" encoding="utf-8"?>
<sst xmlns="http://schemas.openxmlformats.org/spreadsheetml/2006/main" count="479" uniqueCount="174">
  <si>
    <t>Uncertainty calculation for a power measurement (settled, average power)</t>
  </si>
  <si>
    <t>Power Level (dBm)</t>
  </si>
  <si>
    <t>Frequency (GHz)</t>
  </si>
  <si>
    <t>Measurement noise</t>
  </si>
  <si>
    <t>Trigger mode</t>
  </si>
  <si>
    <t>Free run mode</t>
  </si>
  <si>
    <t>Free run measurement noise</t>
  </si>
  <si>
    <t>Noise</t>
  </si>
  <si>
    <t>Noise Multiplier</t>
  </si>
  <si>
    <t>Noise per sample</t>
  </si>
  <si>
    <t>&lt;500MHz</t>
  </si>
  <si>
    <t>&gt;=500MHz</t>
  </si>
  <si>
    <t>Noise per sample multiplier</t>
  </si>
  <si>
    <t>Off</t>
  </si>
  <si>
    <t>VBW setting</t>
  </si>
  <si>
    <t>Average setting</t>
  </si>
  <si>
    <t>Trigger mode measurement noise</t>
  </si>
  <si>
    <t>= measurement noise x free run noise multiplier</t>
  </si>
  <si>
    <t>x</t>
  </si>
  <si>
    <t>=</t>
  </si>
  <si>
    <t>Free run / Trigger mode</t>
  </si>
  <si>
    <t xml:space="preserve">Zero drift </t>
  </si>
  <si>
    <t>= Noise / Power, noise power is capped for power &gt; 100 uW, for these cases, use: Noise / 100 uW</t>
  </si>
  <si>
    <t>W</t>
  </si>
  <si>
    <t>Calculate sensor uncertainty due to measurement noise and zero drift</t>
  </si>
  <si>
    <t xml:space="preserve">RSS of above terms </t>
  </si>
  <si>
    <t>Zero uncertainty</t>
  </si>
  <si>
    <t>Symbol</t>
  </si>
  <si>
    <t>Value</t>
  </si>
  <si>
    <t>Percentage</t>
  </si>
  <si>
    <t>N</t>
  </si>
  <si>
    <t>D</t>
  </si>
  <si>
    <t>RSS(N,D)</t>
  </si>
  <si>
    <r>
      <t>Z</t>
    </r>
    <r>
      <rPr>
        <vertAlign val="subscript"/>
        <sz val="11"/>
        <color theme="1"/>
        <rFont val="Calibri"/>
        <family val="2"/>
        <scheme val="minor"/>
      </rPr>
      <t>s</t>
    </r>
  </si>
  <si>
    <t>Zero set</t>
  </si>
  <si>
    <t>Sensor calibration uncertainty</t>
  </si>
  <si>
    <r>
      <t>K</t>
    </r>
    <r>
      <rPr>
        <vertAlign val="subscript"/>
        <sz val="11"/>
        <color theme="1"/>
        <rFont val="Calibri"/>
        <family val="2"/>
        <scheme val="minor"/>
      </rPr>
      <t>b</t>
    </r>
  </si>
  <si>
    <t>Calibration uncertainty</t>
  </si>
  <si>
    <t>U2021XA</t>
  </si>
  <si>
    <t>U2022XA</t>
  </si>
  <si>
    <t>#</t>
  </si>
  <si>
    <t>Sensor model</t>
  </si>
  <si>
    <t>System contribution, coverage factor of 2</t>
  </si>
  <si>
    <t>(RSS of item 3, 4 and 5)</t>
  </si>
  <si>
    <t>Standard uncertainty of mismatch</t>
  </si>
  <si>
    <t>DUT SWR</t>
  </si>
  <si>
    <t>Sensor max SWR</t>
  </si>
  <si>
    <t>DUT max SWR</t>
  </si>
  <si>
    <t>Combined measurement uncertainty @ k = 1</t>
  </si>
  <si>
    <t>Upper Limit Uncertainty</t>
  </si>
  <si>
    <t>Lower Limit Uncertainty</t>
  </si>
  <si>
    <t xml:space="preserve">Expanded Uncertainty </t>
  </si>
  <si>
    <r>
      <t>|Г</t>
    </r>
    <r>
      <rPr>
        <vertAlign val="subscript"/>
        <sz val="11"/>
        <color theme="1"/>
        <rFont val="Calibri"/>
        <family val="2"/>
        <scheme val="minor"/>
      </rPr>
      <t>DUT</t>
    </r>
    <r>
      <rPr>
        <sz val="11"/>
        <color theme="1"/>
        <rFont val="Calibri"/>
        <family val="2"/>
        <scheme val="minor"/>
      </rPr>
      <t>|</t>
    </r>
  </si>
  <si>
    <r>
      <t>|Г</t>
    </r>
    <r>
      <rPr>
        <vertAlign val="subscript"/>
        <sz val="11"/>
        <color theme="1"/>
        <rFont val="Calibri"/>
        <family val="2"/>
        <scheme val="minor"/>
      </rPr>
      <t>sensor</t>
    </r>
    <r>
      <rPr>
        <sz val="11"/>
        <color theme="1"/>
        <rFont val="Calibri"/>
        <family val="2"/>
        <scheme val="minor"/>
      </rPr>
      <t>|</t>
    </r>
  </si>
  <si>
    <r>
      <t>RSS(N, D, Z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, K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</t>
    </r>
  </si>
  <si>
    <t xml:space="preserve"> --</t>
  </si>
  <si>
    <t xml:space="preserve">Measurement noise </t>
  </si>
  <si>
    <t>This calculation is base on ISO Guide to the Expression of Uncertainty in Measurement, often referred to as the GUM.</t>
  </si>
  <si>
    <t>= noise per sample x noise per sample multiplier x 1/sqrt[(gate length/12.5ns)]</t>
  </si>
  <si>
    <t>Trigger mode measurement noise improvement limits at the measurement noise of 100 nW:</t>
  </si>
  <si>
    <t>SWR</t>
  </si>
  <si>
    <t>rho</t>
  </si>
  <si>
    <t>Freq</t>
  </si>
  <si>
    <r>
      <t>U</t>
    </r>
    <r>
      <rPr>
        <vertAlign val="subscript"/>
        <sz val="11"/>
        <color theme="1"/>
        <rFont val="Calibri"/>
        <family val="2"/>
        <scheme val="minor"/>
      </rPr>
      <t>c</t>
    </r>
  </si>
  <si>
    <t>k</t>
  </si>
  <si>
    <r>
      <t>U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* k</t>
    </r>
  </si>
  <si>
    <t>k factor</t>
  </si>
  <si>
    <t>Instruction: Fill up blue colour columns</t>
  </si>
  <si>
    <t>Sensor mode</t>
  </si>
  <si>
    <t>Normal mode</t>
  </si>
  <si>
    <t>Average only mode</t>
  </si>
  <si>
    <t>Revision:</t>
  </si>
  <si>
    <t>Rev 1</t>
  </si>
  <si>
    <t>Rev 2</t>
  </si>
  <si>
    <t>Added 'average only mode' with extended power range down to -45dBm</t>
  </si>
  <si>
    <t>Zero drift</t>
  </si>
  <si>
    <t>Noise multiplier (average only mode):</t>
  </si>
  <si>
    <t>Normal speed</t>
  </si>
  <si>
    <t>Double speed</t>
  </si>
  <si>
    <t>Noise multiplier =</t>
  </si>
  <si>
    <t>Power range checking</t>
  </si>
  <si>
    <t>Freq range checking</t>
  </si>
  <si>
    <t>U2041XA</t>
  </si>
  <si>
    <t>U2042XA</t>
  </si>
  <si>
    <t>U2043XA</t>
  </si>
  <si>
    <t>U2044XA</t>
  </si>
  <si>
    <t>U2049XA</t>
  </si>
  <si>
    <t>U2040 calibration uncertainty</t>
  </si>
  <si>
    <t>Average mode</t>
  </si>
  <si>
    <t>Video Off / High</t>
  </si>
  <si>
    <t>Video Med/Low</t>
  </si>
  <si>
    <t>(add 1.6% for RH  70 to 95%)</t>
  </si>
  <si>
    <t>Low</t>
  </si>
  <si>
    <t>Med</t>
  </si>
  <si>
    <t>High</t>
  </si>
  <si>
    <t>(U2020)</t>
  </si>
  <si>
    <t>(U2040)</t>
  </si>
  <si>
    <t>Low/Med</t>
  </si>
  <si>
    <t>High/off</t>
  </si>
  <si>
    <t>Trigger mode meas noise</t>
  </si>
  <si>
    <t>Free run meas noise</t>
  </si>
  <si>
    <t>Meas noise</t>
  </si>
  <si>
    <t xml:space="preserve">U2040 Normal mode </t>
  </si>
  <si>
    <t>U2020 NORM Measurement noise  =</t>
  </si>
  <si>
    <t>U2040 NORM meas noise</t>
  </si>
  <si>
    <t xml:space="preserve">NORM measurement noise = </t>
  </si>
  <si>
    <r>
      <t xml:space="preserve">= noise per sample x </t>
    </r>
    <r>
      <rPr>
        <sz val="11"/>
        <color rgb="FFFF0000"/>
        <rFont val="Calibri"/>
        <family val="2"/>
        <scheme val="minor"/>
      </rPr>
      <t>noise per saple multiplier</t>
    </r>
    <r>
      <rPr>
        <sz val="11"/>
        <color theme="1"/>
        <rFont val="Calibri"/>
        <family val="2"/>
        <scheme val="minor"/>
      </rPr>
      <t xml:space="preserve"> x 1/sqrt[gate length/50ns]</t>
    </r>
  </si>
  <si>
    <r>
      <t>=measurement noise x</t>
    </r>
    <r>
      <rPr>
        <sz val="11"/>
        <color rgb="FFFF0000"/>
        <rFont val="Calibri"/>
        <family val="2"/>
        <scheme val="minor"/>
      </rPr>
      <t xml:space="preserve"> free run noise multiplier</t>
    </r>
  </si>
  <si>
    <t>U2020 Final Measurement noise in %</t>
  </si>
  <si>
    <t>Noise / power</t>
  </si>
  <si>
    <t>Final NORM meas noise in %</t>
  </si>
  <si>
    <t>U2040 final NORM mode meas noise in % =</t>
  </si>
  <si>
    <t>NORM mode zero drift</t>
  </si>
  <si>
    <t>NORM mode zero drift =</t>
  </si>
  <si>
    <t>NORM mode Zero set</t>
  </si>
  <si>
    <t>U2040 NORM Zero Set</t>
  </si>
  <si>
    <t>External  Zero</t>
  </si>
  <si>
    <t>Internal Zero</t>
  </si>
  <si>
    <t xml:space="preserve">High </t>
  </si>
  <si>
    <t xml:space="preserve">NORM mode zero set = </t>
  </si>
  <si>
    <t>Relative Humidity &gt; 70%</t>
  </si>
  <si>
    <t>Yes</t>
  </si>
  <si>
    <t>No</t>
  </si>
  <si>
    <t xml:space="preserve">U2020 Cal Factor = </t>
  </si>
  <si>
    <t>U2040 Cal Factor =</t>
  </si>
  <si>
    <t>U2020 and U2040 X-Series USB Peak and Average Power Sensor</t>
  </si>
  <si>
    <t>U2040 (-70 to +15dBm)</t>
  </si>
  <si>
    <t>U2040 (+15 to +26dBm)</t>
  </si>
  <si>
    <t>Free run (U2040)</t>
  </si>
  <si>
    <t>Int zero set</t>
  </si>
  <si>
    <t>Ext zero set (&lt;300MHz)</t>
  </si>
  <si>
    <t>Ext zero set &gt;=300MHz)</t>
  </si>
  <si>
    <t>Avg mode meas noise multiplier</t>
  </si>
  <si>
    <t>&lt;=3.2s</t>
  </si>
  <si>
    <t>&gt;3.2s</t>
  </si>
  <si>
    <t>=0.89*sqrt[1/(AvgCount*Aperture time)]</t>
  </si>
  <si>
    <t>=0.63*[1/(AvgCount*Aperture time)]^0.2</t>
  </si>
  <si>
    <t xml:space="preserve"> =</t>
  </si>
  <si>
    <t>Noise_multiplier =</t>
  </si>
  <si>
    <t>U2020 Measurement noise * noise multiplier</t>
  </si>
  <si>
    <t>U2040 Avg mode  noise = Meas_noise*Noise_Multiplier</t>
  </si>
  <si>
    <t>Avg Mode Meas Noise =</t>
  </si>
  <si>
    <t xml:space="preserve">Zero drift = </t>
  </si>
  <si>
    <t>Ext Zero set =</t>
  </si>
  <si>
    <t xml:space="preserve">Zero set = </t>
  </si>
  <si>
    <t xml:space="preserve">U2040 Zero set = </t>
  </si>
  <si>
    <t>U2040 Average only mode (zero set, drift, noise calc)</t>
  </si>
  <si>
    <t>U2020 Average only mode  (zero set, drift, noise calc)</t>
  </si>
  <si>
    <t xml:space="preserve">   (Internal zero - allow zeroing-on-the-go without switching off RF input power)
   (For U2040 X-Series, use External Zero when measure signal below -50dBm)</t>
  </si>
  <si>
    <t>© Keysight Technologies, Inc. 2012, 2014, 2015</t>
  </si>
  <si>
    <t>For more info on power meter and power sensor measurement uncertainty equation and calculation base on GUM, please refer to Keysight Application Note 1449-3 "Fundamental of RF and Microwave Power Measurements (Part 3), literature number 5988-9215EN.</t>
  </si>
  <si>
    <t>Rev 3</t>
  </si>
  <si>
    <t>Added in U2040 X-Series</t>
  </si>
  <si>
    <t xml:space="preserve">New creation for U2020 X-Series </t>
  </si>
  <si>
    <t>(a) Aperture time (ms)</t>
  </si>
  <si>
    <t>(b) Internal or External Zero</t>
  </si>
  <si>
    <t>(c) Relative Humidty &gt; 70%</t>
  </si>
  <si>
    <t>Fields applicable to U2040 X-Series only:</t>
  </si>
  <si>
    <r>
      <t>Gate length (us)</t>
    </r>
    <r>
      <rPr>
        <sz val="8"/>
        <color theme="1"/>
        <rFont val="Calibri"/>
        <family val="2"/>
        <scheme val="minor"/>
      </rPr>
      <t xml:space="preserve"> -</t>
    </r>
    <r>
      <rPr>
        <i/>
        <sz val="8"/>
        <color theme="1"/>
        <rFont val="Calibri"/>
        <family val="2"/>
        <scheme val="minor"/>
      </rPr>
      <t xml:space="preserve"> not required for Free Run or Average-only mode</t>
    </r>
  </si>
  <si>
    <t>(note: for avg mode, noise improvement is capped at 0.01%)</t>
  </si>
  <si>
    <t xml:space="preserve">U2040 Avg mode noise / power </t>
  </si>
  <si>
    <t>The data used in this calculation is base on the specifications as in the U2020 &amp; U2040 X-Series USB power sensors datasheet.</t>
  </si>
  <si>
    <t>Rev 4</t>
  </si>
  <si>
    <t>Fixed "dot comma" bug due to regional settings</t>
  </si>
  <si>
    <t>U2022XA-H50</t>
  </si>
  <si>
    <t>Revision 5</t>
  </si>
  <si>
    <t>Rev 5</t>
  </si>
  <si>
    <t>To include U2022XA-H50 that freq up to 50GHz in MU calculation</t>
  </si>
  <si>
    <t>normal mode chk</t>
  </si>
  <si>
    <t>avg mode chk</t>
  </si>
  <si>
    <t>pwr level chk</t>
  </si>
  <si>
    <t>* -45 dBm to 8 dBm (&gt; 40 GHz to 50 GHz)</t>
  </si>
  <si>
    <t>optio H50 =</t>
  </si>
  <si>
    <t>Date updated: 23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</si>
</sst>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%"/>
    <numFmt numFmtId="165" formatCode="0.0%"/>
    <numFmt numFmtId="166" formatCode="0.0"/>
    <numFmt numFmtId="167" formatCode="\+\ 0.##0&quot;dB&quot;"/>
    <numFmt numFmtId="168" formatCode="\−\ 0.##0&quot;dB&quot;"/>
  </numFmts>
  <fonts count="1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u val="double"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11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0" xfId="0" quotePrefix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1" fillId="0" borderId="0" xfId="0" applyFont="1"/>
    <xf numFmtId="11" fontId="0" fillId="0" borderId="0" xfId="0" applyNumberFormat="1"/>
    <xf numFmtId="0" fontId="0" fillId="0" borderId="1" xfId="0" applyBorder="1"/>
    <xf numFmtId="0" fontId="0" fillId="0" borderId="0" xfId="0" quotePrefix="1"/>
    <xf numFmtId="0" fontId="0" fillId="0" borderId="0" xfId="0" quotePrefix="1" applyAlignment="1">
      <alignment horizontal="right"/>
    </xf>
    <xf numFmtId="11" fontId="9" fillId="0" borderId="2" xfId="0" applyNumberFormat="1" applyFont="1" applyBorder="1"/>
    <xf numFmtId="11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1" fontId="9" fillId="0" borderId="3" xfId="0" applyNumberFormat="1" applyFont="1" applyBorder="1"/>
    <xf numFmtId="10" fontId="0" fillId="0" borderId="2" xfId="0" applyNumberFormat="1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5" fontId="0" fillId="0" borderId="0" xfId="0" applyNumberFormat="1"/>
    <xf numFmtId="0" fontId="2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10" fontId="0" fillId="0" borderId="0" xfId="0" applyNumberFormat="1" applyAlignment="1">
      <alignment horizontal="right"/>
    </xf>
    <xf numFmtId="0" fontId="0" fillId="0" borderId="0" xfId="0" quotePrefix="1" applyAlignment="1">
      <alignment horizontal="left"/>
    </xf>
    <xf numFmtId="11" fontId="9" fillId="0" borderId="0" xfId="0" applyNumberFormat="1" applyFont="1"/>
    <xf numFmtId="10" fontId="0" fillId="0" borderId="3" xfId="0" applyNumberFormat="1" applyBorder="1"/>
    <xf numFmtId="10" fontId="9" fillId="0" borderId="3" xfId="0" applyNumberFormat="1" applyFont="1" applyBorder="1"/>
    <xf numFmtId="10" fontId="9" fillId="0" borderId="0" xfId="0" applyNumberFormat="1" applyFont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10" fontId="11" fillId="0" borderId="0" xfId="0" applyNumberFormat="1" applyFont="1"/>
    <xf numFmtId="0" fontId="0" fillId="0" borderId="4" xfId="0" applyBorder="1"/>
    <xf numFmtId="0" fontId="0" fillId="0" borderId="5" xfId="0" applyBorder="1"/>
    <xf numFmtId="0" fontId="7" fillId="0" borderId="0" xfId="0" applyFont="1"/>
    <xf numFmtId="11" fontId="9" fillId="0" borderId="3" xfId="0" applyNumberFormat="1" applyFont="1" applyBorder="1" applyAlignment="1">
      <alignment horizontal="center"/>
    </xf>
    <xf numFmtId="0" fontId="12" fillId="0" borderId="0" xfId="0" applyFont="1"/>
    <xf numFmtId="0" fontId="9" fillId="0" borderId="3" xfId="0" applyFont="1" applyBorder="1"/>
    <xf numFmtId="0" fontId="9" fillId="0" borderId="6" xfId="0" applyFont="1" applyBorder="1"/>
    <xf numFmtId="11" fontId="9" fillId="0" borderId="6" xfId="0" applyNumberFormat="1" applyFont="1" applyBorder="1"/>
    <xf numFmtId="0" fontId="13" fillId="0" borderId="0" xfId="0" applyFont="1"/>
    <xf numFmtId="0" fontId="14" fillId="0" borderId="0" xfId="0" applyFont="1" applyAlignment="1">
      <alignment horizontal="left" indent="3"/>
    </xf>
    <xf numFmtId="0" fontId="15" fillId="0" borderId="0" xfId="0" applyFont="1" applyAlignment="1">
      <alignment horizontal="left"/>
    </xf>
    <xf numFmtId="164" fontId="0" fillId="0" borderId="0" xfId="0" applyNumberFormat="1"/>
    <xf numFmtId="167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10" fillId="0" borderId="1" xfId="0" applyFont="1" applyBorder="1"/>
    <xf numFmtId="11" fontId="10" fillId="0" borderId="1" xfId="0" applyNumberFormat="1" applyFont="1" applyBorder="1"/>
    <xf numFmtId="0" fontId="10" fillId="0" borderId="0" xfId="0" applyFont="1"/>
    <xf numFmtId="0" fontId="10" fillId="0" borderId="1" xfId="0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0" fontId="10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0" fillId="0" borderId="0" xfId="0" applyAlignment="1">
      <alignment horizontal="center"/>
    </xf>
    <xf numFmtId="0" fontId="0" fillId="3" borderId="0" xfId="0" applyFill="1"/>
    <xf numFmtId="0" fontId="12" fillId="0" borderId="7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zoomScale="95" zoomScaleNormal="95" workbookViewId="0">
      <selection activeCell="D6" sqref="D6"/>
    </sheetView>
  </sheetViews>
  <sheetFormatPr defaultColWidth="9.1796875" defaultRowHeight="14.5" x14ac:dyDescent="0.35"/>
  <cols>
    <col min="1" max="1" width="5" customWidth="1"/>
    <col min="2" max="2" width="50.54296875" customWidth="1"/>
    <col min="3" max="3" width="24.54296875" customWidth="1"/>
    <col min="4" max="4" width="18" customWidth="1"/>
    <col min="5" max="5" width="19.08984375" customWidth="1"/>
    <col min="6" max="6" width="10.26953125" customWidth="1"/>
  </cols>
  <sheetData>
    <row r="1" spans="1:10" x14ac:dyDescent="0.35">
      <c r="A1" s="27" t="s">
        <v>125</v>
      </c>
    </row>
    <row r="2" spans="1:10" x14ac:dyDescent="0.35">
      <c r="A2" t="s">
        <v>0</v>
      </c>
      <c r="D2" s="59"/>
    </row>
    <row r="3" spans="1:10" x14ac:dyDescent="0.35">
      <c r="A3" t="s">
        <v>67</v>
      </c>
    </row>
    <row r="5" spans="1:10" x14ac:dyDescent="0.35">
      <c r="A5">
        <v>1</v>
      </c>
      <c r="B5" t="s">
        <v>1</v>
      </c>
      <c r="C5" s="6" t="s">
        <v>19</v>
      </c>
      <c r="D5" s="56">
        <v>0</v>
      </c>
      <c r="E5" s="28" t="str">
        <f>INDEX(Data!A111:C119, MATCH(Calculator!D11,Data!A111:A119,0), MATCH(Calculator!D10,Data!A111:C111,0))</f>
        <v xml:space="preserve"> </v>
      </c>
      <c r="F5" s="6" t="s">
        <v>19</v>
      </c>
      <c r="G5" s="15">
        <f>10^(D5/10)/1000</f>
        <v>1E-3</v>
      </c>
      <c r="H5" t="s">
        <v>23</v>
      </c>
    </row>
    <row r="6" spans="1:10" x14ac:dyDescent="0.35">
      <c r="A6">
        <v>2</v>
      </c>
      <c r="B6" t="s">
        <v>2</v>
      </c>
      <c r="C6" s="6" t="s">
        <v>19</v>
      </c>
      <c r="D6" s="56">
        <v>41</v>
      </c>
      <c r="E6" s="28" t="str">
        <f>VLOOKUP(D11,Data!A102:B109, 2, FALSE)</f>
        <v xml:space="preserve"> </v>
      </c>
    </row>
    <row r="7" spans="1:10" x14ac:dyDescent="0.35">
      <c r="B7" t="s">
        <v>15</v>
      </c>
      <c r="C7" s="6" t="s">
        <v>19</v>
      </c>
      <c r="D7" s="56">
        <v>1</v>
      </c>
    </row>
    <row r="8" spans="1:10" x14ac:dyDescent="0.35">
      <c r="B8" t="s">
        <v>14</v>
      </c>
      <c r="C8" s="6" t="s">
        <v>19</v>
      </c>
      <c r="D8" s="56" t="s">
        <v>13</v>
      </c>
    </row>
    <row r="9" spans="1:10" x14ac:dyDescent="0.35">
      <c r="B9" t="s">
        <v>20</v>
      </c>
      <c r="C9" s="6" t="s">
        <v>19</v>
      </c>
      <c r="D9" s="56" t="s">
        <v>4</v>
      </c>
    </row>
    <row r="10" spans="1:10" x14ac:dyDescent="0.35">
      <c r="B10" t="s">
        <v>68</v>
      </c>
      <c r="C10" s="6" t="s">
        <v>19</v>
      </c>
      <c r="D10" s="56" t="s">
        <v>70</v>
      </c>
      <c r="E10" s="52" t="str">
        <f>IF(OR(AND(D11="U2041XA",D10="Normal mode"), AND(D11="U2043XA",D10="Normal mode")), "Invalid input!", "  (Normal mode enables peak/average power measurements and trace view) ")</f>
        <v xml:space="preserve">  (Normal mode enables peak/average power measurements and trace view) </v>
      </c>
      <c r="F10" s="44"/>
    </row>
    <row r="11" spans="1:10" x14ac:dyDescent="0.35">
      <c r="B11" t="s">
        <v>41</v>
      </c>
      <c r="C11" s="6" t="s">
        <v>19</v>
      </c>
      <c r="D11" s="56" t="s">
        <v>164</v>
      </c>
    </row>
    <row r="12" spans="1:10" x14ac:dyDescent="0.35">
      <c r="B12" t="s">
        <v>45</v>
      </c>
      <c r="C12" s="6" t="s">
        <v>19</v>
      </c>
      <c r="D12" s="56">
        <v>1.26</v>
      </c>
    </row>
    <row r="13" spans="1:10" x14ac:dyDescent="0.35">
      <c r="B13" t="s">
        <v>158</v>
      </c>
      <c r="C13" s="6" t="s">
        <v>19</v>
      </c>
      <c r="D13" s="56">
        <v>500</v>
      </c>
      <c r="F13" s="9"/>
    </row>
    <row r="14" spans="1:10" x14ac:dyDescent="0.35">
      <c r="B14" s="50" t="s">
        <v>157</v>
      </c>
      <c r="C14" s="6"/>
      <c r="D14" s="3"/>
      <c r="F14" s="9"/>
    </row>
    <row r="15" spans="1:10" x14ac:dyDescent="0.35">
      <c r="B15" s="51" t="s">
        <v>154</v>
      </c>
      <c r="C15" s="6" t="s">
        <v>19</v>
      </c>
      <c r="D15" s="56">
        <v>50</v>
      </c>
      <c r="F15" s="9"/>
    </row>
    <row r="16" spans="1:10" ht="26.25" customHeight="1" x14ac:dyDescent="0.35">
      <c r="B16" s="51" t="s">
        <v>155</v>
      </c>
      <c r="C16" s="6" t="s">
        <v>19</v>
      </c>
      <c r="D16" s="56" t="s">
        <v>116</v>
      </c>
      <c r="E16" s="69" t="s">
        <v>148</v>
      </c>
      <c r="F16" s="70"/>
      <c r="G16" s="70"/>
      <c r="H16" s="70"/>
      <c r="I16" s="70"/>
      <c r="J16" s="70"/>
    </row>
    <row r="17" spans="1:7" x14ac:dyDescent="0.35">
      <c r="B17" s="51" t="s">
        <v>156</v>
      </c>
      <c r="C17" s="6" t="s">
        <v>19</v>
      </c>
      <c r="D17" s="56" t="s">
        <v>122</v>
      </c>
      <c r="F17" s="9"/>
    </row>
    <row r="18" spans="1:7" x14ac:dyDescent="0.35">
      <c r="C18" s="6"/>
      <c r="D18" s="3"/>
    </row>
    <row r="19" spans="1:7" x14ac:dyDescent="0.35">
      <c r="C19" s="29" t="s">
        <v>27</v>
      </c>
      <c r="D19" s="29" t="s">
        <v>28</v>
      </c>
      <c r="E19" s="29" t="s">
        <v>29</v>
      </c>
    </row>
    <row r="20" spans="1:7" x14ac:dyDescent="0.35">
      <c r="A20">
        <v>3</v>
      </c>
      <c r="B20" t="s">
        <v>24</v>
      </c>
    </row>
    <row r="21" spans="1:7" x14ac:dyDescent="0.35">
      <c r="B21" t="s">
        <v>56</v>
      </c>
      <c r="C21" s="3" t="s">
        <v>30</v>
      </c>
      <c r="D21" s="1">
        <f>IF(D10="Normal mode", Data!B29, Data!B90)</f>
        <v>1.7E-8</v>
      </c>
      <c r="E21" s="2">
        <f>IF(D10="Normal mode", Data!B34, Data!B90/G5)</f>
        <v>1.7E-5</v>
      </c>
      <c r="G21" s="30"/>
    </row>
    <row r="22" spans="1:7" x14ac:dyDescent="0.35">
      <c r="B22" t="s">
        <v>21</v>
      </c>
      <c r="C22" s="3" t="s">
        <v>31</v>
      </c>
      <c r="D22" s="1">
        <f>IF(D10="Normal mode", Data!B38, Data!B91)</f>
        <v>6E-9</v>
      </c>
      <c r="E22" s="2">
        <f>D22/G5</f>
        <v>6.0000000000000002E-6</v>
      </c>
      <c r="G22" s="30"/>
    </row>
    <row r="23" spans="1:7" x14ac:dyDescent="0.35">
      <c r="B23" t="s">
        <v>25</v>
      </c>
      <c r="C23" s="3" t="s">
        <v>32</v>
      </c>
      <c r="D23" s="3" t="s">
        <v>55</v>
      </c>
      <c r="E23" s="4">
        <f>SQRT(SUMSQ(E21:E22))</f>
        <v>1.8027756377319947E-5</v>
      </c>
      <c r="G23" s="30"/>
    </row>
    <row r="24" spans="1:7" ht="16.5" x14ac:dyDescent="0.45">
      <c r="A24">
        <v>4</v>
      </c>
      <c r="B24" t="s">
        <v>26</v>
      </c>
      <c r="C24" s="3" t="s">
        <v>33</v>
      </c>
      <c r="D24" s="1">
        <f>IF(D10="Normal mode", Data!B42, Data!B92)</f>
        <v>1E-8</v>
      </c>
      <c r="E24" s="2">
        <f>D24/G5</f>
        <v>1.0000000000000001E-5</v>
      </c>
      <c r="G24" s="30"/>
    </row>
    <row r="25" spans="1:7" ht="16.5" x14ac:dyDescent="0.45">
      <c r="A25">
        <v>5</v>
      </c>
      <c r="B25" t="s">
        <v>35</v>
      </c>
      <c r="C25" s="3" t="s">
        <v>36</v>
      </c>
      <c r="D25" s="2">
        <f>IF(OR(D11="U2021XA",D11="U2022XA",D11="U2022XA-H50"), Data!G52,Data!J136)</f>
        <v>7.0000000000000007E-2</v>
      </c>
      <c r="E25" s="2">
        <f>D25</f>
        <v>7.0000000000000007E-2</v>
      </c>
    </row>
    <row r="26" spans="1:7" ht="16.5" x14ac:dyDescent="0.45">
      <c r="A26">
        <v>6</v>
      </c>
      <c r="B26" t="s">
        <v>42</v>
      </c>
      <c r="C26" s="3" t="s">
        <v>54</v>
      </c>
      <c r="D26" s="3" t="s">
        <v>55</v>
      </c>
      <c r="E26" s="2">
        <f>SQRT(SUMSQ(E23:E25))</f>
        <v>7.0000003035714228E-2</v>
      </c>
      <c r="G26" s="5"/>
    </row>
    <row r="27" spans="1:7" x14ac:dyDescent="0.35">
      <c r="B27" t="s">
        <v>43</v>
      </c>
      <c r="C27" s="3" t="s">
        <v>55</v>
      </c>
      <c r="D27" s="3" t="s">
        <v>55</v>
      </c>
    </row>
    <row r="28" spans="1:7" x14ac:dyDescent="0.35">
      <c r="A28">
        <v>7</v>
      </c>
      <c r="B28" t="s">
        <v>44</v>
      </c>
      <c r="C28" s="3" t="s">
        <v>55</v>
      </c>
      <c r="D28" s="3" t="s">
        <v>55</v>
      </c>
    </row>
    <row r="29" spans="1:7" ht="16.5" x14ac:dyDescent="0.45">
      <c r="B29" t="s">
        <v>46</v>
      </c>
      <c r="C29" s="3" t="s">
        <v>53</v>
      </c>
      <c r="D29" s="3">
        <f>INDEX(Data!A59:I78, MATCH(Calculator!D6,Data!A59:A78,1), MATCH(Calculator!D11,Data!A59:I59,0))</f>
        <v>1.7</v>
      </c>
    </row>
    <row r="30" spans="1:7" ht="16.5" x14ac:dyDescent="0.45">
      <c r="B30" t="s">
        <v>47</v>
      </c>
      <c r="C30" s="3" t="s">
        <v>52</v>
      </c>
      <c r="D30" s="3">
        <f>D12</f>
        <v>1.26</v>
      </c>
      <c r="E30" s="5"/>
    </row>
    <row r="31" spans="1:7" ht="16.5" x14ac:dyDescent="0.45">
      <c r="A31">
        <v>8</v>
      </c>
      <c r="B31" t="s">
        <v>48</v>
      </c>
      <c r="C31" s="3" t="s">
        <v>63</v>
      </c>
      <c r="D31" s="6" t="s">
        <v>19</v>
      </c>
      <c r="E31" s="2">
        <f>SQRT((Data!C81*Data!C82/SQRT(2))^2+(Calculator!E26/2)^2)</f>
        <v>4.0863232720258783E-2</v>
      </c>
    </row>
    <row r="32" spans="1:7" x14ac:dyDescent="0.35">
      <c r="B32" t="s">
        <v>66</v>
      </c>
      <c r="C32" s="3" t="s">
        <v>64</v>
      </c>
      <c r="D32" s="6" t="s">
        <v>19</v>
      </c>
      <c r="E32" s="3">
        <v>2</v>
      </c>
    </row>
    <row r="33" spans="2:5" ht="17" thickBot="1" x14ac:dyDescent="0.5">
      <c r="B33" s="15" t="s">
        <v>51</v>
      </c>
      <c r="C33" s="3" t="s">
        <v>65</v>
      </c>
      <c r="D33" s="6" t="s">
        <v>19</v>
      </c>
      <c r="E33" s="7">
        <f>E31*E32</f>
        <v>8.1726465440517565E-2</v>
      </c>
    </row>
    <row r="34" spans="2:5" ht="15" thickTop="1" x14ac:dyDescent="0.35">
      <c r="C34" s="3" t="s">
        <v>49</v>
      </c>
      <c r="D34" s="6" t="s">
        <v>19</v>
      </c>
      <c r="E34" s="54">
        <f>ABS(10*LOG(1+E33))</f>
        <v>0.34117455254628659</v>
      </c>
    </row>
    <row r="35" spans="2:5" x14ac:dyDescent="0.35">
      <c r="C35" s="3" t="s">
        <v>50</v>
      </c>
      <c r="D35" s="6" t="s">
        <v>19</v>
      </c>
      <c r="E35" s="55">
        <f>ABS(10*LOG(1-E33))</f>
        <v>0.37027932246660644</v>
      </c>
    </row>
    <row r="37" spans="2:5" x14ac:dyDescent="0.35">
      <c r="B37" s="31" t="s">
        <v>165</v>
      </c>
    </row>
    <row r="38" spans="2:5" x14ac:dyDescent="0.35">
      <c r="B38" s="31" t="s">
        <v>173</v>
      </c>
    </row>
    <row r="40" spans="2:5" x14ac:dyDescent="0.35">
      <c r="B40" s="32" t="s">
        <v>149</v>
      </c>
    </row>
    <row r="41" spans="2:5" x14ac:dyDescent="0.35">
      <c r="B41" t="s">
        <v>161</v>
      </c>
    </row>
    <row r="42" spans="2:5" x14ac:dyDescent="0.35">
      <c r="B42" t="s">
        <v>57</v>
      </c>
    </row>
    <row r="43" spans="2:5" x14ac:dyDescent="0.35">
      <c r="B43" t="s">
        <v>150</v>
      </c>
    </row>
  </sheetData>
  <sheetProtection algorithmName="SHA-512" hashValue="meHfrDN+wS5JBWivvGrs5fnAwZEAujAxjslNMKq3p9dVKvpHkIjeyNu2u7eBGq9AiQwwUjj2IlbpAPncsS+dHA==" saltValue="HZCjjMQL1DzPCrLYCO23Iw==" spinCount="100000" sheet="1" selectLockedCells="1"/>
  <mergeCells count="1">
    <mergeCell ref="E16:J16"/>
  </mergeCells>
  <dataValidations count="3">
    <dataValidation type="list" allowBlank="1" showInputMessage="1" showErrorMessage="1" sqref="D9" xr:uid="{00000000-0002-0000-0000-000000000000}">
      <formula1>noise</formula1>
    </dataValidation>
    <dataValidation type="list" allowBlank="1" showInputMessage="1" showErrorMessage="1" sqref="D7" xr:uid="{00000000-0002-0000-0000-000001000000}">
      <formula1>averaging</formula1>
    </dataValidation>
    <dataValidation type="list" allowBlank="1" showInputMessage="1" showErrorMessage="1" sqref="D8" xr:uid="{00000000-0002-0000-0000-000002000000}">
      <formula1>VBW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Data!$B$59:$I$59</xm:f>
          </x14:formula1>
          <xm:sqref>D11</xm:sqref>
        </x14:dataValidation>
        <x14:dataValidation type="list" allowBlank="1" showInputMessage="1" showErrorMessage="1" xr:uid="{00000000-0002-0000-0000-000004000000}">
          <x14:formula1>
            <xm:f>Data!$B$3:$B$4</xm:f>
          </x14:formula1>
          <xm:sqref>D10</xm:sqref>
        </x14:dataValidation>
        <x14:dataValidation type="list" allowBlank="1" showInputMessage="1" showErrorMessage="1" xr:uid="{00000000-0002-0000-0000-000005000000}">
          <x14:formula1>
            <xm:f>Data!$K$40:$L$40</xm:f>
          </x14:formula1>
          <xm:sqref>D16</xm:sqref>
        </x14:dataValidation>
        <x14:dataValidation type="list" allowBlank="1" showInputMessage="1" showErrorMessage="1" xr:uid="{00000000-0002-0000-0000-000006000000}">
          <x14:formula1>
            <xm:f>Data!$B$121:$C$121</xm:f>
          </x14:formula1>
          <xm:sqref>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V145"/>
  <sheetViews>
    <sheetView topLeftCell="A87" zoomScale="96" zoomScaleNormal="96" workbookViewId="0">
      <selection activeCell="E119" sqref="E119"/>
    </sheetView>
  </sheetViews>
  <sheetFormatPr defaultColWidth="9.1796875" defaultRowHeight="14.5" x14ac:dyDescent="0.35"/>
  <cols>
    <col min="1" max="1" width="32" customWidth="1"/>
    <col min="2" max="2" width="14.90625" customWidth="1"/>
    <col min="3" max="3" width="18.36328125" customWidth="1"/>
    <col min="4" max="4" width="14.6328125" customWidth="1"/>
    <col min="5" max="5" width="12" bestFit="1" customWidth="1"/>
    <col min="6" max="8" width="11" bestFit="1" customWidth="1"/>
    <col min="9" max="9" width="18.90625" customWidth="1"/>
    <col min="10" max="10" width="15.26953125" customWidth="1"/>
    <col min="12" max="14" width="12" bestFit="1" customWidth="1"/>
    <col min="15" max="15" width="12.453125" bestFit="1" customWidth="1"/>
  </cols>
  <sheetData>
    <row r="2" spans="1:13" x14ac:dyDescent="0.35">
      <c r="A2" s="8" t="s">
        <v>3</v>
      </c>
      <c r="B2" s="8" t="s">
        <v>68</v>
      </c>
    </row>
    <row r="3" spans="1:13" x14ac:dyDescent="0.35">
      <c r="A3" t="s">
        <v>5</v>
      </c>
      <c r="B3" t="s">
        <v>69</v>
      </c>
    </row>
    <row r="4" spans="1:13" x14ac:dyDescent="0.35">
      <c r="A4" t="s">
        <v>4</v>
      </c>
      <c r="B4" t="s">
        <v>70</v>
      </c>
      <c r="J4" t="s">
        <v>102</v>
      </c>
    </row>
    <row r="5" spans="1:13" x14ac:dyDescent="0.35">
      <c r="J5" s="10"/>
      <c r="K5" s="10" t="s">
        <v>97</v>
      </c>
      <c r="L5" s="10" t="s">
        <v>98</v>
      </c>
    </row>
    <row r="6" spans="1:13" x14ac:dyDescent="0.35">
      <c r="A6" s="8" t="s">
        <v>69</v>
      </c>
      <c r="J6" s="10" t="s">
        <v>101</v>
      </c>
      <c r="K6" s="14">
        <v>1E-8</v>
      </c>
      <c r="L6" s="14">
        <v>3.2000000000000002E-8</v>
      </c>
    </row>
    <row r="7" spans="1:13" x14ac:dyDescent="0.35">
      <c r="A7" s="8" t="s">
        <v>128</v>
      </c>
      <c r="J7" s="10" t="s">
        <v>9</v>
      </c>
      <c r="K7" s="14">
        <v>1.4999999999999999E-7</v>
      </c>
      <c r="L7" s="14">
        <v>7.9999999999999996E-7</v>
      </c>
    </row>
    <row r="8" spans="1:13" x14ac:dyDescent="0.35">
      <c r="A8" t="s">
        <v>7</v>
      </c>
      <c r="B8" s="9">
        <v>9.9999999999999995E-8</v>
      </c>
    </row>
    <row r="9" spans="1:13" x14ac:dyDescent="0.35">
      <c r="A9" t="s">
        <v>8</v>
      </c>
      <c r="B9" s="10">
        <v>1</v>
      </c>
      <c r="C9" s="10">
        <v>2</v>
      </c>
      <c r="D9" s="10">
        <v>4</v>
      </c>
      <c r="E9" s="10">
        <v>8</v>
      </c>
      <c r="F9" s="10">
        <v>16</v>
      </c>
      <c r="G9" s="10">
        <v>32</v>
      </c>
      <c r="H9" s="42">
        <v>64</v>
      </c>
      <c r="I9" s="10">
        <v>128</v>
      </c>
      <c r="J9" s="43">
        <v>256</v>
      </c>
      <c r="K9" s="10">
        <v>512</v>
      </c>
      <c r="L9" s="10">
        <v>1024</v>
      </c>
    </row>
    <row r="10" spans="1:13" x14ac:dyDescent="0.35">
      <c r="B10" s="10">
        <v>1</v>
      </c>
      <c r="C10" s="10">
        <v>0.9</v>
      </c>
      <c r="D10" s="10">
        <v>0.8</v>
      </c>
      <c r="E10" s="10">
        <v>0.7</v>
      </c>
      <c r="F10" s="10">
        <v>0.6</v>
      </c>
      <c r="G10" s="10">
        <v>0.5</v>
      </c>
      <c r="H10" s="42">
        <v>0.45</v>
      </c>
      <c r="I10" s="10">
        <v>0.4</v>
      </c>
      <c r="J10" s="43">
        <v>0.3</v>
      </c>
      <c r="K10" s="10">
        <v>0.25</v>
      </c>
      <c r="L10" s="10">
        <v>0.2</v>
      </c>
    </row>
    <row r="11" spans="1:13" x14ac:dyDescent="0.35">
      <c r="A11" t="s">
        <v>6</v>
      </c>
      <c r="B11" s="11" t="s">
        <v>17</v>
      </c>
    </row>
    <row r="12" spans="1:13" ht="15" thickBot="1" x14ac:dyDescent="0.4">
      <c r="A12" s="34" t="s">
        <v>95</v>
      </c>
      <c r="B12" s="13">
        <f>(HLOOKUP(Calculator!D7,Data!B9:L10,2,FALSE))*B8</f>
        <v>9.9999999999999995E-8</v>
      </c>
      <c r="C12" t="s">
        <v>23</v>
      </c>
      <c r="J12" t="s">
        <v>100</v>
      </c>
      <c r="L12" s="11" t="s">
        <v>107</v>
      </c>
    </row>
    <row r="13" spans="1:13" ht="15" thickTop="1" x14ac:dyDescent="0.35">
      <c r="A13" s="8" t="s">
        <v>4</v>
      </c>
      <c r="J13" t="s">
        <v>96</v>
      </c>
      <c r="K13" s="12" t="s">
        <v>19</v>
      </c>
      <c r="L13" s="35">
        <f>IF(OR(Calculator!D8="Low", Calculator!D8="Med"), Data!K6, Data!L6)</f>
        <v>3.2000000000000002E-8</v>
      </c>
      <c r="M13" t="s">
        <v>23</v>
      </c>
    </row>
    <row r="14" spans="1:13" x14ac:dyDescent="0.35">
      <c r="A14" t="s">
        <v>9</v>
      </c>
      <c r="B14" s="10">
        <v>0.05</v>
      </c>
      <c r="C14" s="10">
        <v>0.499</v>
      </c>
      <c r="D14" s="10">
        <v>0.5</v>
      </c>
      <c r="E14" s="10">
        <v>0.501</v>
      </c>
      <c r="F14" s="10">
        <v>40</v>
      </c>
    </row>
    <row r="15" spans="1:13" x14ac:dyDescent="0.35">
      <c r="A15" t="s">
        <v>95</v>
      </c>
      <c r="B15" s="14">
        <v>3.0000000000000001E-6</v>
      </c>
      <c r="C15" s="14">
        <v>3.0000000000000001E-6</v>
      </c>
      <c r="D15" s="14">
        <v>2.5000000000000002E-6</v>
      </c>
      <c r="E15" s="14">
        <v>2.5000000000000002E-6</v>
      </c>
      <c r="F15" s="14">
        <v>2.5000000000000002E-6</v>
      </c>
    </row>
    <row r="17" spans="1:15" x14ac:dyDescent="0.35">
      <c r="A17" t="s">
        <v>12</v>
      </c>
      <c r="B17" s="10"/>
      <c r="C17" s="10" t="s">
        <v>10</v>
      </c>
      <c r="D17" s="10" t="s">
        <v>11</v>
      </c>
    </row>
    <row r="18" spans="1:15" x14ac:dyDescent="0.35">
      <c r="B18" s="10" t="s">
        <v>92</v>
      </c>
      <c r="C18" s="10">
        <v>0.6</v>
      </c>
      <c r="D18" s="10">
        <v>0.55000000000000004</v>
      </c>
    </row>
    <row r="19" spans="1:15" x14ac:dyDescent="0.35">
      <c r="B19" s="10" t="s">
        <v>93</v>
      </c>
      <c r="C19" s="10">
        <v>1.3</v>
      </c>
      <c r="D19" s="10">
        <v>0.65</v>
      </c>
      <c r="F19" s="30"/>
    </row>
    <row r="20" spans="1:15" x14ac:dyDescent="0.35">
      <c r="B20" s="10" t="s">
        <v>94</v>
      </c>
      <c r="C20" s="10">
        <v>2.7</v>
      </c>
      <c r="D20" s="10">
        <v>0.8</v>
      </c>
      <c r="F20" s="30"/>
    </row>
    <row r="21" spans="1:15" x14ac:dyDescent="0.35">
      <c r="B21" s="10" t="s">
        <v>13</v>
      </c>
      <c r="C21" s="10">
        <v>1</v>
      </c>
      <c r="D21" s="10">
        <v>1</v>
      </c>
    </row>
    <row r="22" spans="1:15" x14ac:dyDescent="0.35">
      <c r="A22" t="s">
        <v>16</v>
      </c>
      <c r="B22" s="11" t="s">
        <v>58</v>
      </c>
      <c r="J22" t="s">
        <v>99</v>
      </c>
      <c r="M22" s="11" t="s">
        <v>106</v>
      </c>
    </row>
    <row r="23" spans="1:15" x14ac:dyDescent="0.35">
      <c r="A23" s="34" t="s">
        <v>95</v>
      </c>
      <c r="B23" s="9">
        <f>HLOOKUP(Calculator!D6,B14:F15,2,TRUE)</f>
        <v>2.5000000000000002E-6</v>
      </c>
      <c r="C23" s="3" t="s">
        <v>18</v>
      </c>
      <c r="D23">
        <f>IF(Calculator!D6&lt;0.5, VLOOKUP(Calculator!D8,Data!B18:C21,2,FALSE), VLOOKUP(Calculator!D8,Data!B18:D21,3,FALSE))</f>
        <v>1</v>
      </c>
      <c r="E23" s="3" t="s">
        <v>18</v>
      </c>
      <c r="F23">
        <f>1/SQRT(Calculator!D13*1000/12.5)</f>
        <v>5.0000000000000001E-3</v>
      </c>
      <c r="J23" t="s">
        <v>96</v>
      </c>
      <c r="L23" s="12" t="s">
        <v>19</v>
      </c>
      <c r="M23">
        <f>IF(OR(Calculator!D8="Low",Calculator!D8="Med"), Data!K7, Data!L7)</f>
        <v>7.9999999999999996E-7</v>
      </c>
      <c r="N23" t="s">
        <v>18</v>
      </c>
      <c r="O23">
        <f>1/SQRT(Calculator!D13/0.05)</f>
        <v>0.01</v>
      </c>
    </row>
    <row r="24" spans="1:15" ht="15" thickBot="1" x14ac:dyDescent="0.4">
      <c r="A24" s="12" t="s">
        <v>19</v>
      </c>
      <c r="B24" s="9">
        <f>B23*D23*F23</f>
        <v>1.2500000000000001E-8</v>
      </c>
      <c r="C24" t="s">
        <v>23</v>
      </c>
      <c r="L24" s="12" t="s">
        <v>19</v>
      </c>
      <c r="M24" s="17">
        <f>M23*O23</f>
        <v>8.0000000000000005E-9</v>
      </c>
      <c r="N24" t="s">
        <v>23</v>
      </c>
    </row>
    <row r="25" spans="1:15" ht="15" thickTop="1" x14ac:dyDescent="0.35">
      <c r="A25" s="15" t="s">
        <v>59</v>
      </c>
      <c r="B25" s="9"/>
    </row>
    <row r="26" spans="1:15" ht="15" thickBot="1" x14ac:dyDescent="0.4">
      <c r="A26" s="12" t="s">
        <v>19</v>
      </c>
      <c r="B26" s="13">
        <f>IF(B24&gt;=0.0000001, B24, 0.0000001)</f>
        <v>9.9999999999999995E-8</v>
      </c>
    </row>
    <row r="27" spans="1:15" ht="15.5" thickTop="1" thickBot="1" x14ac:dyDescent="0.4">
      <c r="A27" s="16" t="s">
        <v>103</v>
      </c>
      <c r="B27" s="17">
        <f>IF(Calculator!D9="Free run mode", Data!B12,Data!B26)</f>
        <v>9.9999999999999995E-8</v>
      </c>
      <c r="C27" t="s">
        <v>23</v>
      </c>
      <c r="J27" t="s">
        <v>104</v>
      </c>
      <c r="L27" s="11" t="s">
        <v>19</v>
      </c>
      <c r="M27" s="45">
        <f>IF(Calculator!D9="Free run mode", Data!L13, Data!M24)</f>
        <v>8.0000000000000005E-9</v>
      </c>
      <c r="N27" t="s">
        <v>23</v>
      </c>
      <c r="O27">
        <f>(0.0000008)*SQRT(0.00000005/0.00001)</f>
        <v>5.6568542494923801E-8</v>
      </c>
    </row>
    <row r="28" spans="1:15" ht="15" thickTop="1" x14ac:dyDescent="0.35">
      <c r="A28" s="16"/>
      <c r="B28" s="35"/>
      <c r="L28" s="11"/>
      <c r="M28" s="1"/>
    </row>
    <row r="29" spans="1:15" ht="15" thickBot="1" x14ac:dyDescent="0.4">
      <c r="A29" s="16" t="s">
        <v>105</v>
      </c>
      <c r="B29" s="17">
        <f>IF(OR(Calculator!D11="U2021XA", Calculator!D11 = "U2022XA"), Data!B27, Data!M27)</f>
        <v>8.0000000000000005E-9</v>
      </c>
      <c r="C29" t="s">
        <v>23</v>
      </c>
      <c r="L29" s="11"/>
      <c r="M29" s="1"/>
    </row>
    <row r="30" spans="1:15" ht="15" thickTop="1" x14ac:dyDescent="0.35">
      <c r="E30" s="10"/>
    </row>
    <row r="31" spans="1:15" x14ac:dyDescent="0.35">
      <c r="A31" t="s">
        <v>108</v>
      </c>
      <c r="B31" s="11" t="s">
        <v>22</v>
      </c>
    </row>
    <row r="32" spans="1:15" ht="15" thickBot="1" x14ac:dyDescent="0.4">
      <c r="A32" s="12" t="s">
        <v>19</v>
      </c>
      <c r="B32" s="18">
        <f>IF(Calculator!G5&gt;0.0001, Data!B27/0.0001, Data!B27/Calculator!G5)</f>
        <v>9.999999999999998E-4</v>
      </c>
      <c r="I32" s="67" t="s">
        <v>111</v>
      </c>
      <c r="J32" s="67"/>
      <c r="K32" s="67"/>
      <c r="L32" s="67"/>
      <c r="M32" t="s">
        <v>109</v>
      </c>
    </row>
    <row r="33" spans="1:15" ht="15.5" thickTop="1" thickBot="1" x14ac:dyDescent="0.4">
      <c r="A33" s="12"/>
      <c r="B33" s="5"/>
      <c r="J33" s="16"/>
      <c r="K33" s="16"/>
      <c r="L33" s="12" t="s">
        <v>19</v>
      </c>
      <c r="M33" s="36">
        <f>M27/Calculator!G5</f>
        <v>7.9999999999999996E-6</v>
      </c>
      <c r="O33" s="5"/>
    </row>
    <row r="34" spans="1:15" ht="15.5" thickTop="1" thickBot="1" x14ac:dyDescent="0.4">
      <c r="A34" s="12" t="s">
        <v>110</v>
      </c>
      <c r="B34" s="37">
        <f>IF(OR(Calculator!D11="U2021XA", Calculator!D11 ="U2022XA"), Data!B32,Data!M33)</f>
        <v>7.9999999999999996E-6</v>
      </c>
    </row>
    <row r="35" spans="1:15" ht="15" thickTop="1" x14ac:dyDescent="0.35">
      <c r="A35" s="12"/>
      <c r="B35" s="38"/>
    </row>
    <row r="36" spans="1:15" x14ac:dyDescent="0.35">
      <c r="A36" s="39" t="s">
        <v>112</v>
      </c>
      <c r="B36" s="10" t="s">
        <v>38</v>
      </c>
      <c r="C36" s="10" t="s">
        <v>39</v>
      </c>
      <c r="D36" s="10" t="s">
        <v>82</v>
      </c>
      <c r="E36" s="10" t="s">
        <v>83</v>
      </c>
      <c r="F36" s="10" t="s">
        <v>84</v>
      </c>
      <c r="G36" s="10" t="s">
        <v>85</v>
      </c>
      <c r="H36" s="10" t="s">
        <v>86</v>
      </c>
      <c r="I36" s="57" t="s">
        <v>164</v>
      </c>
    </row>
    <row r="37" spans="1:15" x14ac:dyDescent="0.35">
      <c r="A37" s="8"/>
      <c r="B37" s="14">
        <v>9.9999999999999995E-8</v>
      </c>
      <c r="C37" s="14">
        <v>1.9999999999999999E-7</v>
      </c>
      <c r="D37" s="10">
        <f>IF(OR(Calculator!D8="OFF", Calculator!D8 = "High"), 0.000000015, 0.00000001)</f>
        <v>1.4999999999999999E-8</v>
      </c>
      <c r="E37" s="14">
        <f>IF(OR(Calculator!D8="OFF", Calculator!D8 = "High"), 0.000000015, 0.00000001)</f>
        <v>1.4999999999999999E-8</v>
      </c>
      <c r="F37" s="14">
        <f>IF(OR(Calculator!D8="OFF", Calculator!D8 = "High"), 0.000000015, 0.00000001)</f>
        <v>1.4999999999999999E-8</v>
      </c>
      <c r="G37" s="14">
        <f>IF(OR(Calculator!D8="OFF", Calculator!D8 = "High"), 0.000000015, 0.00000001)</f>
        <v>1.4999999999999999E-8</v>
      </c>
      <c r="H37" s="14">
        <f>IF(OR(Calculator!D8="OFF", Calculator!D8 = "High"), 0.000000015, 0.00000001)</f>
        <v>1.4999999999999999E-8</v>
      </c>
      <c r="I37" s="58">
        <v>1.9999999999999999E-7</v>
      </c>
    </row>
    <row r="38" spans="1:15" ht="15" thickBot="1" x14ac:dyDescent="0.4">
      <c r="A38" t="s">
        <v>113</v>
      </c>
      <c r="B38" s="13">
        <f>HLOOKUP(Calculator!D11,Data!B36:I37, 2, FALSE)</f>
        <v>1.9999999999999999E-7</v>
      </c>
      <c r="C38" s="9" t="s">
        <v>23</v>
      </c>
      <c r="E38" s="9"/>
      <c r="F38" s="9"/>
      <c r="G38" s="9"/>
      <c r="H38" s="9"/>
      <c r="I38" s="59"/>
    </row>
    <row r="39" spans="1:15" ht="15" thickTop="1" x14ac:dyDescent="0.35">
      <c r="B39" s="9"/>
      <c r="C39" s="9"/>
      <c r="E39" s="9"/>
      <c r="F39" s="9"/>
      <c r="G39" s="9"/>
      <c r="H39" s="9"/>
      <c r="I39" s="59"/>
      <c r="J39" s="15" t="s">
        <v>115</v>
      </c>
      <c r="K39" s="16"/>
      <c r="L39" s="16"/>
    </row>
    <row r="40" spans="1:15" x14ac:dyDescent="0.35">
      <c r="A40" s="8" t="s">
        <v>114</v>
      </c>
      <c r="B40" s="10" t="s">
        <v>38</v>
      </c>
      <c r="C40" s="10" t="s">
        <v>39</v>
      </c>
      <c r="D40" s="10" t="s">
        <v>82</v>
      </c>
      <c r="E40" s="10" t="s">
        <v>83</v>
      </c>
      <c r="F40" s="10" t="s">
        <v>84</v>
      </c>
      <c r="G40" s="10" t="s">
        <v>85</v>
      </c>
      <c r="H40" s="10" t="s">
        <v>86</v>
      </c>
      <c r="I40" s="57" t="s">
        <v>164</v>
      </c>
      <c r="J40" s="10"/>
      <c r="K40" s="40" t="s">
        <v>116</v>
      </c>
      <c r="L40" s="40" t="s">
        <v>117</v>
      </c>
    </row>
    <row r="41" spans="1:15" x14ac:dyDescent="0.35">
      <c r="B41" s="14">
        <v>1.9999999999999999E-7</v>
      </c>
      <c r="C41" s="14">
        <v>1.9999999999999999E-7</v>
      </c>
      <c r="D41" s="10">
        <f>INDEX(J40:L44,MATCH(Calculator!D8,Data!J40:J44,0),MATCH(Calculator!D16,Data!J40:L40, 0))</f>
        <v>4.9999999999999998E-8</v>
      </c>
      <c r="E41" s="14">
        <f>INDEX(J40:L44,MATCH(Calculator!D8,Data!J40:J44,0),MATCH(Calculator!D16,Data!J40:L40, 0))</f>
        <v>4.9999999999999998E-8</v>
      </c>
      <c r="F41" s="14">
        <f>INDEX(J40:L44,MATCH(Calculator!D8,Data!J40:J44,0),MATCH(Calculator!D16,Data!J40:L40, 0))</f>
        <v>4.9999999999999998E-8</v>
      </c>
      <c r="G41" s="14">
        <f>INDEX(J40:L44,MATCH(Calculator!D8,Data!J40:J44,0),MATCH(Calculator!D16,Data!J40:L40, 0))</f>
        <v>4.9999999999999998E-8</v>
      </c>
      <c r="H41" s="14">
        <f>INDEX(J40:L44,MATCH(Calculator!D8,Data!J40:J44,0),MATCH(Calculator!D16,Data!J40:L40, 0))</f>
        <v>4.9999999999999998E-8</v>
      </c>
      <c r="I41" s="58">
        <v>1.9999999999999999E-7</v>
      </c>
      <c r="J41" s="10" t="s">
        <v>92</v>
      </c>
      <c r="K41" s="14">
        <v>1.6000000000000001E-8</v>
      </c>
      <c r="L41" s="14">
        <v>2.3000000000000001E-8</v>
      </c>
    </row>
    <row r="42" spans="1:15" ht="15" thickBot="1" x14ac:dyDescent="0.4">
      <c r="A42" t="s">
        <v>119</v>
      </c>
      <c r="B42" s="17">
        <f>HLOOKUP(Calculator!D11,Data!B40:I41, 2)</f>
        <v>1.9999999999999999E-7</v>
      </c>
      <c r="C42" t="s">
        <v>23</v>
      </c>
      <c r="J42" s="10" t="s">
        <v>93</v>
      </c>
      <c r="K42" s="14">
        <v>1.6000000000000001E-8</v>
      </c>
      <c r="L42" s="14">
        <v>2.3000000000000001E-8</v>
      </c>
    </row>
    <row r="43" spans="1:15" ht="15" thickTop="1" x14ac:dyDescent="0.35">
      <c r="B43" s="35"/>
      <c r="J43" s="10" t="s">
        <v>118</v>
      </c>
      <c r="K43" s="14">
        <v>4.9999999999999998E-8</v>
      </c>
      <c r="L43" s="14">
        <v>5.9999999999999995E-8</v>
      </c>
    </row>
    <row r="44" spans="1:15" x14ac:dyDescent="0.35">
      <c r="B44" s="35"/>
      <c r="J44" s="10" t="s">
        <v>13</v>
      </c>
      <c r="K44" s="14">
        <v>4.9999999999999998E-8</v>
      </c>
      <c r="L44" s="14">
        <v>5.9999999999999995E-8</v>
      </c>
    </row>
    <row r="45" spans="1:15" x14ac:dyDescent="0.35">
      <c r="A45" s="8" t="s">
        <v>37</v>
      </c>
    </row>
    <row r="46" spans="1:15" x14ac:dyDescent="0.35">
      <c r="A46" s="10"/>
      <c r="B46" s="19" t="s">
        <v>38</v>
      </c>
      <c r="C46" s="19" t="s">
        <v>39</v>
      </c>
      <c r="D46" s="57" t="s">
        <v>164</v>
      </c>
    </row>
    <row r="47" spans="1:15" x14ac:dyDescent="0.35">
      <c r="A47" s="10">
        <v>0.05</v>
      </c>
      <c r="B47" s="20">
        <v>4.2000000000000003E-2</v>
      </c>
      <c r="C47" s="20">
        <v>4.2999999999999997E-2</v>
      </c>
      <c r="D47" s="63">
        <v>4.2999999999999997E-2</v>
      </c>
    </row>
    <row r="48" spans="1:15" x14ac:dyDescent="0.35">
      <c r="A48" s="10">
        <v>0.5</v>
      </c>
      <c r="B48" s="20">
        <v>4.2000000000000003E-2</v>
      </c>
      <c r="C48" s="20">
        <v>4.2999999999999997E-2</v>
      </c>
      <c r="D48" s="63">
        <v>4.2999999999999997E-2</v>
      </c>
    </row>
    <row r="49" spans="1:22" x14ac:dyDescent="0.35">
      <c r="A49" s="10">
        <v>0.50009999999999999</v>
      </c>
      <c r="B49" s="20">
        <v>0.04</v>
      </c>
      <c r="C49" s="20">
        <v>4.2000000000000003E-2</v>
      </c>
      <c r="D49" s="63">
        <v>4.2000000000000003E-2</v>
      </c>
    </row>
    <row r="50" spans="1:22" x14ac:dyDescent="0.35">
      <c r="A50" s="10">
        <v>1.0009999999999999</v>
      </c>
      <c r="B50" s="21">
        <v>0.04</v>
      </c>
      <c r="C50" s="20">
        <v>4.4999999999999998E-2</v>
      </c>
      <c r="D50" s="63">
        <v>4.4999999999999998E-2</v>
      </c>
    </row>
    <row r="51" spans="1:22" x14ac:dyDescent="0.35">
      <c r="A51" s="10">
        <v>10.000999999999999</v>
      </c>
      <c r="B51" s="22">
        <v>4.4999999999999998E-2</v>
      </c>
      <c r="C51" s="20">
        <v>4.4999999999999998E-2</v>
      </c>
      <c r="D51" s="63">
        <v>4.4999999999999998E-2</v>
      </c>
    </row>
    <row r="52" spans="1:22" x14ac:dyDescent="0.35">
      <c r="A52" s="10">
        <v>18.001000000000001</v>
      </c>
      <c r="B52" s="20" t="s">
        <v>40</v>
      </c>
      <c r="C52" s="20">
        <v>5.2999999999999999E-2</v>
      </c>
      <c r="D52" s="63">
        <v>5.2999999999999999E-2</v>
      </c>
      <c r="E52" t="s">
        <v>123</v>
      </c>
      <c r="G52" s="41">
        <f>IF(Calculator!D11="U2021XA", VLOOKUP(Calculator!D6,Data!A47:B53,2,TRUE), IF(Calculator!D11="U2022XA", VLOOKUP(Calculator!D6,Data!A47:C53,3,TRUE), VLOOKUP(Calculator!D6,Data!A47:D56,4,TRUE)))</f>
        <v>7.0000000000000007E-2</v>
      </c>
    </row>
    <row r="53" spans="1:22" x14ac:dyDescent="0.35">
      <c r="A53" s="10">
        <v>26.501000000000001</v>
      </c>
      <c r="B53" s="19" t="s">
        <v>40</v>
      </c>
      <c r="C53" s="20">
        <v>5.8000000000000003E-2</v>
      </c>
      <c r="D53" s="63">
        <v>5.8000000000000003E-2</v>
      </c>
    </row>
    <row r="54" spans="1:22" x14ac:dyDescent="0.35">
      <c r="A54" s="57">
        <v>40.000999999999998</v>
      </c>
      <c r="B54" s="19" t="s">
        <v>40</v>
      </c>
      <c r="C54" s="19" t="s">
        <v>40</v>
      </c>
      <c r="D54" s="63">
        <v>7.0000000000000007E-2</v>
      </c>
      <c r="G54" s="59"/>
    </row>
    <row r="55" spans="1:22" x14ac:dyDescent="0.35">
      <c r="A55" s="57">
        <v>47.000999999999998</v>
      </c>
      <c r="B55" s="19" t="s">
        <v>40</v>
      </c>
      <c r="C55" s="19" t="s">
        <v>40</v>
      </c>
      <c r="D55" s="63">
        <v>0.08</v>
      </c>
    </row>
    <row r="56" spans="1:22" x14ac:dyDescent="0.35">
      <c r="A56" s="57">
        <v>50</v>
      </c>
      <c r="B56" s="19" t="s">
        <v>40</v>
      </c>
      <c r="C56" s="19" t="s">
        <v>40</v>
      </c>
      <c r="D56" s="63">
        <v>0.08</v>
      </c>
    </row>
    <row r="57" spans="1:22" x14ac:dyDescent="0.35">
      <c r="B57" s="3"/>
      <c r="C57" s="2"/>
    </row>
    <row r="58" spans="1:22" x14ac:dyDescent="0.35">
      <c r="A58" t="s">
        <v>46</v>
      </c>
      <c r="B58" s="3"/>
      <c r="C58" s="2"/>
      <c r="E58" s="3"/>
      <c r="J58" t="s">
        <v>126</v>
      </c>
      <c r="Q58" t="s">
        <v>127</v>
      </c>
    </row>
    <row r="59" spans="1:22" x14ac:dyDescent="0.35">
      <c r="A59" s="10"/>
      <c r="B59" s="10" t="s">
        <v>38</v>
      </c>
      <c r="C59" s="10" t="s">
        <v>39</v>
      </c>
      <c r="D59" s="19" t="s">
        <v>82</v>
      </c>
      <c r="E59" s="19" t="s">
        <v>83</v>
      </c>
      <c r="F59" s="19" t="s">
        <v>84</v>
      </c>
      <c r="G59" s="19" t="s">
        <v>85</v>
      </c>
      <c r="H59" s="19" t="s">
        <v>86</v>
      </c>
      <c r="I59" s="57" t="s">
        <v>164</v>
      </c>
      <c r="J59" s="19"/>
      <c r="K59" s="19" t="s">
        <v>82</v>
      </c>
      <c r="L59" s="19" t="s">
        <v>83</v>
      </c>
      <c r="M59" s="19" t="s">
        <v>84</v>
      </c>
      <c r="N59" s="19" t="s">
        <v>85</v>
      </c>
      <c r="O59" s="19" t="s">
        <v>86</v>
      </c>
      <c r="Q59" s="19"/>
      <c r="R59" s="19" t="s">
        <v>82</v>
      </c>
      <c r="S59" s="19" t="s">
        <v>83</v>
      </c>
      <c r="T59" s="19" t="s">
        <v>84</v>
      </c>
      <c r="U59" s="19" t="s">
        <v>85</v>
      </c>
      <c r="V59" s="19" t="s">
        <v>86</v>
      </c>
    </row>
    <row r="60" spans="1:22" x14ac:dyDescent="0.35">
      <c r="A60" s="43">
        <v>0.01</v>
      </c>
      <c r="B60" s="19" t="s">
        <v>40</v>
      </c>
      <c r="C60" s="19" t="s">
        <v>40</v>
      </c>
      <c r="D60" s="24">
        <f>IF(Calculator!$D$5&gt;15, Data!R60,Data!K60)</f>
        <v>1.2</v>
      </c>
      <c r="E60" s="24">
        <f>IF(Calculator!$D$5&gt;15, Data!S60,Data!L60)</f>
        <v>1.2</v>
      </c>
      <c r="F60" s="24">
        <f>IF(Calculator!$D$5&gt;15, Data!T60,Data!M60)</f>
        <v>1.2</v>
      </c>
      <c r="G60" s="24">
        <f>IF(Calculator!$D$5&gt;15, Data!U60,Data!N60)</f>
        <v>1.2</v>
      </c>
      <c r="H60" s="24">
        <f>IF(Calculator!$D$5&gt;15, Data!V60,Data!O60)</f>
        <v>2.1800000000000002</v>
      </c>
      <c r="I60" s="60" t="s">
        <v>40</v>
      </c>
      <c r="J60" s="19">
        <v>0.01</v>
      </c>
      <c r="K60" s="24">
        <v>1.2</v>
      </c>
      <c r="L60" s="24">
        <v>1.2</v>
      </c>
      <c r="M60" s="24">
        <v>1.2</v>
      </c>
      <c r="N60" s="24">
        <v>1.2</v>
      </c>
      <c r="O60" s="24">
        <v>2.1800000000000002</v>
      </c>
      <c r="Q60" s="19">
        <v>0.01</v>
      </c>
      <c r="R60" s="19">
        <v>1.29</v>
      </c>
      <c r="S60" s="19">
        <v>1.29</v>
      </c>
      <c r="T60" s="19">
        <v>1.29</v>
      </c>
      <c r="U60" s="19">
        <v>1.29</v>
      </c>
      <c r="V60" s="19">
        <v>2.21</v>
      </c>
    </row>
    <row r="61" spans="1:22" x14ac:dyDescent="0.35">
      <c r="A61" s="43">
        <v>3.0099999999999998E-2</v>
      </c>
      <c r="B61" s="19" t="s">
        <v>40</v>
      </c>
      <c r="C61" s="19" t="s">
        <v>40</v>
      </c>
      <c r="D61" s="24">
        <f>IF(Calculator!$D$5&gt;15, Data!R61,Data!K61)</f>
        <v>1.2</v>
      </c>
      <c r="E61" s="24">
        <f>IF(Calculator!$D$5&gt;15, Data!S61,Data!L61)</f>
        <v>1.2</v>
      </c>
      <c r="F61" s="24">
        <f>IF(Calculator!$D$5&gt;15, Data!T61,Data!M61)</f>
        <v>1.2</v>
      </c>
      <c r="G61" s="24">
        <f>IF(Calculator!$D$5&gt;15, Data!U61,Data!N61)</f>
        <v>1.2</v>
      </c>
      <c r="H61" s="24">
        <f>IF(Calculator!$D$5&gt;15, Data!V61,Data!O61)</f>
        <v>1.35</v>
      </c>
      <c r="I61" s="60" t="s">
        <v>40</v>
      </c>
      <c r="J61" s="19">
        <v>3.0099999999999998E-2</v>
      </c>
      <c r="K61" s="24">
        <v>1.2</v>
      </c>
      <c r="L61" s="24">
        <v>1.2</v>
      </c>
      <c r="M61" s="24">
        <v>1.2</v>
      </c>
      <c r="N61" s="24">
        <v>1.2</v>
      </c>
      <c r="O61" s="24">
        <v>1.35</v>
      </c>
      <c r="Q61" s="19">
        <v>3.0099999999999998E-2</v>
      </c>
      <c r="R61" s="19">
        <v>1.29</v>
      </c>
      <c r="S61" s="19">
        <v>1.29</v>
      </c>
      <c r="T61" s="19">
        <v>1.29</v>
      </c>
      <c r="U61" s="19">
        <v>1.29</v>
      </c>
      <c r="V61" s="19">
        <v>1.37</v>
      </c>
    </row>
    <row r="62" spans="1:22" x14ac:dyDescent="0.35">
      <c r="A62" s="43">
        <v>0.05</v>
      </c>
      <c r="B62" s="19">
        <v>1.2</v>
      </c>
      <c r="C62" s="23">
        <v>1.2</v>
      </c>
      <c r="D62" s="24">
        <f>IF(Calculator!$D$5&gt;15, Data!R62,Data!K62)</f>
        <v>1.2</v>
      </c>
      <c r="E62" s="24">
        <f>IF(Calculator!$D$5&gt;15, Data!S62,Data!L62)</f>
        <v>1.2</v>
      </c>
      <c r="F62" s="24">
        <f>IF(Calculator!$D$5&gt;15, Data!T62,Data!M62)</f>
        <v>1.2</v>
      </c>
      <c r="G62" s="24">
        <f>IF(Calculator!$D$5&gt;15, Data!U62,Data!N62)</f>
        <v>1.2</v>
      </c>
      <c r="H62" s="24">
        <f>IF(Calculator!$D$5&gt;15, Data!V62,Data!O62)</f>
        <v>1.35</v>
      </c>
      <c r="I62" s="61">
        <v>1.2</v>
      </c>
      <c r="J62" s="19">
        <v>0.05</v>
      </c>
      <c r="K62" s="24">
        <v>1.2</v>
      </c>
      <c r="L62" s="24">
        <v>1.2</v>
      </c>
      <c r="M62" s="24">
        <v>1.2</v>
      </c>
      <c r="N62" s="24">
        <v>1.2</v>
      </c>
      <c r="O62" s="24">
        <v>1.35</v>
      </c>
      <c r="Q62" s="19">
        <v>0.05</v>
      </c>
      <c r="R62" s="19">
        <v>1.29</v>
      </c>
      <c r="S62" s="19">
        <v>1.29</v>
      </c>
      <c r="T62" s="19">
        <v>1.29</v>
      </c>
      <c r="U62" s="19">
        <v>1.29</v>
      </c>
      <c r="V62" s="19">
        <v>1.37</v>
      </c>
    </row>
    <row r="63" spans="1:22" x14ac:dyDescent="0.35">
      <c r="A63" s="43">
        <v>5.0099999999999999E-2</v>
      </c>
      <c r="B63" s="19">
        <v>1.2</v>
      </c>
      <c r="C63" s="23">
        <v>1.2</v>
      </c>
      <c r="D63" s="24">
        <f>IF(Calculator!$D$5&gt;15, Data!R63,Data!K63)</f>
        <v>1.2</v>
      </c>
      <c r="E63" s="24">
        <f>IF(Calculator!$D$5&gt;15, Data!S63,Data!L63)</f>
        <v>1.2</v>
      </c>
      <c r="F63" s="24">
        <f>IF(Calculator!$D$5&gt;15, Data!T63,Data!M63)</f>
        <v>1.2</v>
      </c>
      <c r="G63" s="24">
        <f>IF(Calculator!$D$5&gt;15, Data!U63,Data!N63)</f>
        <v>1.2</v>
      </c>
      <c r="H63" s="24">
        <f>IF(Calculator!$D$5&gt;15, Data!V63,Data!O63)</f>
        <v>1.22</v>
      </c>
      <c r="I63" s="61">
        <v>1.2</v>
      </c>
      <c r="J63" s="19">
        <v>5.0099999999999999E-2</v>
      </c>
      <c r="K63" s="24">
        <v>1.2</v>
      </c>
      <c r="L63" s="24">
        <v>1.2</v>
      </c>
      <c r="M63" s="24">
        <v>1.2</v>
      </c>
      <c r="N63" s="24">
        <v>1.2</v>
      </c>
      <c r="O63" s="24">
        <v>1.22</v>
      </c>
      <c r="Q63" s="19">
        <v>5.0099999999999999E-2</v>
      </c>
      <c r="R63" s="19">
        <v>1.29</v>
      </c>
      <c r="S63" s="19">
        <v>1.29</v>
      </c>
      <c r="T63" s="19">
        <v>1.29</v>
      </c>
      <c r="U63" s="19">
        <v>1.29</v>
      </c>
      <c r="V63" s="19">
        <v>1.24</v>
      </c>
    </row>
    <row r="64" spans="1:22" x14ac:dyDescent="0.35">
      <c r="A64" s="43">
        <v>0.10100000000000001</v>
      </c>
      <c r="B64" s="19">
        <v>1.2</v>
      </c>
      <c r="C64" s="23">
        <v>1.2</v>
      </c>
      <c r="D64" s="24">
        <f>IF(Calculator!$D$5&gt;15, Data!R64,Data!K64)</f>
        <v>1.2</v>
      </c>
      <c r="E64" s="24">
        <f>IF(Calculator!$D$5&gt;15, Data!S64,Data!L64)</f>
        <v>1.2</v>
      </c>
      <c r="F64" s="24">
        <f>IF(Calculator!$D$5&gt;15, Data!T64,Data!M64)</f>
        <v>1.2</v>
      </c>
      <c r="G64" s="24">
        <f>IF(Calculator!$D$5&gt;15, Data!U64,Data!N64)</f>
        <v>1.2</v>
      </c>
      <c r="H64" s="24">
        <f>IF(Calculator!$D$5&gt;15, Data!V64,Data!O64)</f>
        <v>1.17</v>
      </c>
      <c r="I64" s="61">
        <v>1.2</v>
      </c>
      <c r="J64" s="19">
        <v>0.10100000000000001</v>
      </c>
      <c r="K64" s="24">
        <v>1.2</v>
      </c>
      <c r="L64" s="24">
        <v>1.2</v>
      </c>
      <c r="M64" s="24">
        <v>1.2</v>
      </c>
      <c r="N64" s="24">
        <v>1.2</v>
      </c>
      <c r="O64" s="24">
        <v>1.17</v>
      </c>
      <c r="Q64" s="19">
        <v>0.10100000000000001</v>
      </c>
      <c r="R64" s="19">
        <v>1.29</v>
      </c>
      <c r="S64" s="19">
        <v>1.29</v>
      </c>
      <c r="T64" s="19">
        <v>1.29</v>
      </c>
      <c r="U64" s="19">
        <v>1.29</v>
      </c>
      <c r="V64" s="19">
        <v>1.21</v>
      </c>
    </row>
    <row r="65" spans="1:22" x14ac:dyDescent="0.35">
      <c r="A65" s="43">
        <v>6</v>
      </c>
      <c r="B65" s="19">
        <v>1.2</v>
      </c>
      <c r="C65" s="23">
        <v>1.2</v>
      </c>
      <c r="D65" s="24">
        <f>IF(Calculator!$D$5&gt;15, Data!R65,Data!K65)</f>
        <v>1.2</v>
      </c>
      <c r="E65" s="24">
        <f>IF(Calculator!$D$5&gt;15, Data!S65,Data!L65)</f>
        <v>1.2</v>
      </c>
      <c r="F65" s="24">
        <f>IF(Calculator!$D$5&gt;15, Data!T65,Data!M65)</f>
        <v>1.2</v>
      </c>
      <c r="G65" s="24">
        <f>IF(Calculator!$D$5&gt;15, Data!U65,Data!N65)</f>
        <v>1.2</v>
      </c>
      <c r="H65" s="24">
        <f>IF(Calculator!$D$5&gt;15, Data!V65,Data!O65)</f>
        <v>1.17</v>
      </c>
      <c r="I65" s="61">
        <v>1.2</v>
      </c>
      <c r="J65" s="19">
        <v>6</v>
      </c>
      <c r="K65" s="24">
        <v>1.2</v>
      </c>
      <c r="L65" s="24">
        <v>1.2</v>
      </c>
      <c r="M65" s="24">
        <v>1.2</v>
      </c>
      <c r="N65" s="24">
        <v>1.2</v>
      </c>
      <c r="O65" s="24">
        <v>1.17</v>
      </c>
      <c r="Q65" s="19">
        <v>6</v>
      </c>
      <c r="R65" s="19">
        <v>1.29</v>
      </c>
      <c r="S65" s="19">
        <v>1.29</v>
      </c>
      <c r="T65" s="19">
        <v>1.29</v>
      </c>
      <c r="U65" s="19">
        <v>1.29</v>
      </c>
      <c r="V65" s="19">
        <v>1.21</v>
      </c>
    </row>
    <row r="66" spans="1:22" x14ac:dyDescent="0.35">
      <c r="A66" s="43">
        <v>6.0010000000000003</v>
      </c>
      <c r="B66" s="19">
        <v>1.2</v>
      </c>
      <c r="C66" s="23">
        <v>1.2</v>
      </c>
      <c r="D66" s="24" t="str">
        <f>IF(Calculator!$D$5&gt;15, Data!R66,Data!K66)</f>
        <v>#</v>
      </c>
      <c r="E66" s="24" t="str">
        <f>IF(Calculator!$D$5&gt;15, Data!S66,Data!L66)</f>
        <v>#</v>
      </c>
      <c r="F66" s="24">
        <f>IF(Calculator!$D$5&gt;15, Data!T66,Data!M66)</f>
        <v>1.26</v>
      </c>
      <c r="G66" s="24">
        <f>IF(Calculator!$D$5&gt;15, Data!U66,Data!N66)</f>
        <v>1.26</v>
      </c>
      <c r="H66" s="24">
        <f>IF(Calculator!$D$5&gt;15, Data!V66,Data!O66)</f>
        <v>1.17</v>
      </c>
      <c r="I66" s="61">
        <v>1.2</v>
      </c>
      <c r="J66" s="19">
        <v>6.0010000000000003</v>
      </c>
      <c r="K66" s="24" t="s">
        <v>40</v>
      </c>
      <c r="L66" s="24" t="s">
        <v>40</v>
      </c>
      <c r="M66" s="19">
        <v>1.26</v>
      </c>
      <c r="N66" s="19">
        <v>1.26</v>
      </c>
      <c r="O66" s="19">
        <v>1.17</v>
      </c>
      <c r="Q66" s="19">
        <v>6.0010000000000003</v>
      </c>
      <c r="R66" s="19" t="s">
        <v>40</v>
      </c>
      <c r="S66" s="19" t="s">
        <v>40</v>
      </c>
      <c r="T66" s="24">
        <v>1.3</v>
      </c>
      <c r="U66" s="24">
        <v>1.3</v>
      </c>
      <c r="V66" s="19">
        <v>1.21</v>
      </c>
    </row>
    <row r="67" spans="1:22" x14ac:dyDescent="0.35">
      <c r="A67" s="43">
        <v>10</v>
      </c>
      <c r="B67" s="19">
        <v>1.2</v>
      </c>
      <c r="C67" s="23">
        <v>1.2</v>
      </c>
      <c r="D67" s="24" t="str">
        <f>IF(Calculator!$D$5&gt;15, Data!R67,Data!K67)</f>
        <v>#</v>
      </c>
      <c r="E67" s="24" t="str">
        <f>IF(Calculator!$D$5&gt;15, Data!S67,Data!L67)</f>
        <v>#</v>
      </c>
      <c r="F67" s="24">
        <f>IF(Calculator!$D$5&gt;15, Data!T67,Data!M67)</f>
        <v>1.26</v>
      </c>
      <c r="G67" s="24">
        <f>IF(Calculator!$D$5&gt;15, Data!U67,Data!N67)</f>
        <v>1.26</v>
      </c>
      <c r="H67" s="24">
        <f>IF(Calculator!$D$5&gt;15, Data!V67,Data!O67)</f>
        <v>1.17</v>
      </c>
      <c r="I67" s="61">
        <v>1.2</v>
      </c>
      <c r="J67" s="19">
        <v>10</v>
      </c>
      <c r="K67" s="19" t="s">
        <v>40</v>
      </c>
      <c r="L67" s="19" t="s">
        <v>40</v>
      </c>
      <c r="M67" s="19">
        <v>1.26</v>
      </c>
      <c r="N67" s="19">
        <v>1.26</v>
      </c>
      <c r="O67" s="19">
        <v>1.17</v>
      </c>
      <c r="Q67" s="19">
        <v>10</v>
      </c>
      <c r="R67" s="19" t="s">
        <v>40</v>
      </c>
      <c r="S67" s="19" t="s">
        <v>40</v>
      </c>
      <c r="T67" s="24">
        <v>1.3</v>
      </c>
      <c r="U67" s="24">
        <v>1.3</v>
      </c>
      <c r="V67" s="19">
        <v>1.21</v>
      </c>
    </row>
    <row r="68" spans="1:22" x14ac:dyDescent="0.35">
      <c r="A68" s="43">
        <v>10.000999999999999</v>
      </c>
      <c r="B68" s="19">
        <v>1.26</v>
      </c>
      <c r="C68" s="24">
        <v>1.26</v>
      </c>
      <c r="D68" s="24" t="str">
        <f>IF(Calculator!$D$5&gt;15, Data!R68,Data!K68)</f>
        <v>#</v>
      </c>
      <c r="E68" s="24" t="str">
        <f>IF(Calculator!$D$5&gt;15, Data!S68,Data!L68)</f>
        <v>#</v>
      </c>
      <c r="F68" s="24">
        <f>IF(Calculator!$D$5&gt;15, Data!T68,Data!M68)</f>
        <v>1.26</v>
      </c>
      <c r="G68" s="24">
        <f>IF(Calculator!$D$5&gt;15, Data!U68,Data!N68)</f>
        <v>1.26</v>
      </c>
      <c r="H68" s="24">
        <f>IF(Calculator!$D$5&gt;15, Data!V68,Data!O68)</f>
        <v>1.17</v>
      </c>
      <c r="I68" s="62">
        <v>1.26</v>
      </c>
      <c r="J68" s="19">
        <v>10.000999999999999</v>
      </c>
      <c r="K68" s="19" t="s">
        <v>40</v>
      </c>
      <c r="L68" s="19" t="s">
        <v>40</v>
      </c>
      <c r="M68" s="19">
        <v>1.26</v>
      </c>
      <c r="N68" s="19">
        <v>1.26</v>
      </c>
      <c r="O68" s="19">
        <v>1.17</v>
      </c>
      <c r="Q68" s="19">
        <v>10.000999999999999</v>
      </c>
      <c r="R68" s="19" t="s">
        <v>40</v>
      </c>
      <c r="S68" s="19" t="s">
        <v>40</v>
      </c>
      <c r="T68" s="24">
        <v>1.3</v>
      </c>
      <c r="U68" s="24">
        <v>1.3</v>
      </c>
      <c r="V68" s="19">
        <v>1.21</v>
      </c>
    </row>
    <row r="69" spans="1:22" x14ac:dyDescent="0.35">
      <c r="A69" s="43">
        <v>11.500999999999999</v>
      </c>
      <c r="B69" s="19">
        <v>1.26</v>
      </c>
      <c r="C69" s="24">
        <v>1.26</v>
      </c>
      <c r="D69" s="24" t="str">
        <f>IF(Calculator!$D$5&gt;15, Data!R69,Data!K69)</f>
        <v>#</v>
      </c>
      <c r="E69" s="24" t="str">
        <f>IF(Calculator!$D$5&gt;15, Data!S69,Data!L69)</f>
        <v>#</v>
      </c>
      <c r="F69" s="24">
        <f>IF(Calculator!$D$5&gt;15, Data!T69,Data!M69)</f>
        <v>1.26</v>
      </c>
      <c r="G69" s="24">
        <f>IF(Calculator!$D$5&gt;15, Data!U69,Data!N69)</f>
        <v>1.26</v>
      </c>
      <c r="H69" s="24">
        <f>IF(Calculator!$D$5&gt;15, Data!V69,Data!O69)</f>
        <v>1.29</v>
      </c>
      <c r="I69" s="62">
        <v>1.26</v>
      </c>
      <c r="J69" s="19">
        <v>11.500999999999999</v>
      </c>
      <c r="K69" s="19" t="s">
        <v>40</v>
      </c>
      <c r="L69" s="19" t="s">
        <v>40</v>
      </c>
      <c r="M69" s="19">
        <v>1.26</v>
      </c>
      <c r="N69" s="19">
        <v>1.26</v>
      </c>
      <c r="O69" s="19">
        <v>1.29</v>
      </c>
      <c r="Q69" s="19">
        <v>11.500999999999999</v>
      </c>
      <c r="R69" s="19" t="s">
        <v>40</v>
      </c>
      <c r="S69" s="19" t="s">
        <v>40</v>
      </c>
      <c r="T69" s="24">
        <v>1.3</v>
      </c>
      <c r="U69" s="24">
        <v>1.3</v>
      </c>
      <c r="V69" s="19">
        <v>1.33</v>
      </c>
    </row>
    <row r="70" spans="1:22" x14ac:dyDescent="0.35">
      <c r="A70" s="43">
        <v>18</v>
      </c>
      <c r="B70" s="19">
        <v>1.26</v>
      </c>
      <c r="C70" s="24">
        <v>1.26</v>
      </c>
      <c r="D70" s="24" t="str">
        <f>IF(Calculator!$D$5&gt;15, Data!R70,Data!K70)</f>
        <v>#</v>
      </c>
      <c r="E70" s="24" t="str">
        <f>IF(Calculator!$D$5&gt;15, Data!S70,Data!L70)</f>
        <v>#</v>
      </c>
      <c r="F70" s="24">
        <f>IF(Calculator!$D$5&gt;15, Data!T70,Data!M70)</f>
        <v>1.26</v>
      </c>
      <c r="G70" s="24">
        <f>IF(Calculator!$D$5&gt;15, Data!U70,Data!N70)</f>
        <v>1.26</v>
      </c>
      <c r="H70" s="24">
        <f>IF(Calculator!$D$5&gt;15, Data!V70,Data!O70)</f>
        <v>1.29</v>
      </c>
      <c r="I70" s="62">
        <v>1.26</v>
      </c>
      <c r="J70" s="19">
        <v>18</v>
      </c>
      <c r="K70" s="19" t="s">
        <v>40</v>
      </c>
      <c r="L70" s="19" t="s">
        <v>40</v>
      </c>
      <c r="M70" s="19">
        <v>1.26</v>
      </c>
      <c r="N70" s="19">
        <v>1.26</v>
      </c>
      <c r="O70" s="19">
        <v>1.29</v>
      </c>
      <c r="Q70" s="19">
        <v>18</v>
      </c>
      <c r="R70" s="19" t="s">
        <v>40</v>
      </c>
      <c r="S70" s="19" t="s">
        <v>40</v>
      </c>
      <c r="T70" s="24">
        <v>1.3</v>
      </c>
      <c r="U70" s="24">
        <v>1.3</v>
      </c>
      <c r="V70" s="19">
        <v>1.33</v>
      </c>
    </row>
    <row r="71" spans="1:22" x14ac:dyDescent="0.35">
      <c r="A71" s="43">
        <v>18.001000000000001</v>
      </c>
      <c r="B71" s="19" t="s">
        <v>40</v>
      </c>
      <c r="C71" s="23">
        <v>1.3</v>
      </c>
      <c r="D71" s="24" t="str">
        <f>IF(Calculator!$D$5&gt;15, Data!R71,Data!K71)</f>
        <v>#</v>
      </c>
      <c r="E71" s="24" t="str">
        <f>IF(Calculator!$D$5&gt;15, Data!S71,Data!L71)</f>
        <v>#</v>
      </c>
      <c r="F71" s="24" t="str">
        <f>IF(Calculator!$D$5&gt;15, Data!T71,Data!M71)</f>
        <v>#</v>
      </c>
      <c r="G71" s="24" t="str">
        <f>IF(Calculator!$D$5&gt;15, Data!U71,Data!N71)</f>
        <v>#</v>
      </c>
      <c r="H71" s="24">
        <f>IF(Calculator!$D$5&gt;15, Data!V71,Data!O71)</f>
        <v>1.29</v>
      </c>
      <c r="I71" s="61">
        <v>1.3</v>
      </c>
      <c r="J71" s="19">
        <v>18.001000000000001</v>
      </c>
      <c r="K71" s="19" t="s">
        <v>40</v>
      </c>
      <c r="L71" s="19" t="s">
        <v>40</v>
      </c>
      <c r="M71" s="19" t="s">
        <v>40</v>
      </c>
      <c r="N71" s="19" t="s">
        <v>40</v>
      </c>
      <c r="O71" s="19">
        <v>1.29</v>
      </c>
      <c r="Q71" s="19">
        <v>18.001000000000001</v>
      </c>
      <c r="R71" s="19" t="s">
        <v>40</v>
      </c>
      <c r="S71" s="19" t="s">
        <v>40</v>
      </c>
      <c r="T71" s="19" t="s">
        <v>40</v>
      </c>
      <c r="U71" s="19" t="s">
        <v>40</v>
      </c>
      <c r="V71" s="19">
        <v>1.33</v>
      </c>
    </row>
    <row r="72" spans="1:22" x14ac:dyDescent="0.35">
      <c r="A72" s="43">
        <v>26.5</v>
      </c>
      <c r="B72" s="19" t="s">
        <v>40</v>
      </c>
      <c r="C72" s="23">
        <v>1.3</v>
      </c>
      <c r="D72" s="24" t="str">
        <f>IF(Calculator!$D$5&gt;15, Data!R72,Data!K72)</f>
        <v>#</v>
      </c>
      <c r="E72" s="24" t="str">
        <f>IF(Calculator!$D$5&gt;15, Data!S72,Data!L72)</f>
        <v>#</v>
      </c>
      <c r="F72" s="24" t="str">
        <f>IF(Calculator!$D$5&gt;15, Data!T72,Data!M72)</f>
        <v>#</v>
      </c>
      <c r="G72" s="24" t="str">
        <f>IF(Calculator!$D$5&gt;15, Data!U72,Data!N72)</f>
        <v>#</v>
      </c>
      <c r="H72" s="24">
        <f>IF(Calculator!$D$5&gt;15, Data!V72,Data!O72)</f>
        <v>1.29</v>
      </c>
      <c r="I72" s="61">
        <v>1.3</v>
      </c>
      <c r="J72" s="19">
        <v>26.5</v>
      </c>
      <c r="K72" s="19" t="s">
        <v>40</v>
      </c>
      <c r="L72" s="19" t="s">
        <v>40</v>
      </c>
      <c r="M72" s="19" t="s">
        <v>40</v>
      </c>
      <c r="N72" s="19" t="s">
        <v>40</v>
      </c>
      <c r="O72" s="19">
        <v>1.29</v>
      </c>
      <c r="Q72" s="19">
        <v>26.5</v>
      </c>
      <c r="R72" s="19" t="s">
        <v>40</v>
      </c>
      <c r="S72" s="19" t="s">
        <v>40</v>
      </c>
      <c r="T72" s="19" t="s">
        <v>40</v>
      </c>
      <c r="U72" s="19" t="s">
        <v>40</v>
      </c>
      <c r="V72" s="19">
        <v>1.33</v>
      </c>
    </row>
    <row r="73" spans="1:22" x14ac:dyDescent="0.35">
      <c r="A73" s="43">
        <v>26.501000000000001</v>
      </c>
      <c r="B73" s="19" t="s">
        <v>40</v>
      </c>
      <c r="C73" s="23">
        <v>1.5</v>
      </c>
      <c r="D73" s="24" t="str">
        <f>IF(Calculator!$D$5&gt;15, Data!R73,Data!K73)</f>
        <v>#</v>
      </c>
      <c r="E73" s="24" t="str">
        <f>IF(Calculator!$D$5&gt;15, Data!S73,Data!L73)</f>
        <v>#</v>
      </c>
      <c r="F73" s="24" t="str">
        <f>IF(Calculator!$D$5&gt;15, Data!T73,Data!M73)</f>
        <v>#</v>
      </c>
      <c r="G73" s="24" t="str">
        <f>IF(Calculator!$D$5&gt;15, Data!U73,Data!N73)</f>
        <v>#</v>
      </c>
      <c r="H73" s="24">
        <f>IF(Calculator!$D$5&gt;15, Data!V73,Data!O73)</f>
        <v>1.29</v>
      </c>
      <c r="I73" s="61">
        <v>1.5</v>
      </c>
      <c r="J73" s="19">
        <v>26.501000000000001</v>
      </c>
      <c r="K73" s="19" t="s">
        <v>40</v>
      </c>
      <c r="L73" s="19" t="s">
        <v>40</v>
      </c>
      <c r="M73" s="19" t="s">
        <v>40</v>
      </c>
      <c r="N73" s="19" t="s">
        <v>40</v>
      </c>
      <c r="O73" s="19">
        <v>1.29</v>
      </c>
      <c r="Q73" s="19">
        <v>26.501000000000001</v>
      </c>
      <c r="R73" s="19" t="s">
        <v>40</v>
      </c>
      <c r="S73" s="19" t="s">
        <v>40</v>
      </c>
      <c r="T73" s="19" t="s">
        <v>40</v>
      </c>
      <c r="U73" s="19" t="s">
        <v>40</v>
      </c>
      <c r="V73" s="19">
        <v>1.33</v>
      </c>
    </row>
    <row r="74" spans="1:22" x14ac:dyDescent="0.35">
      <c r="A74" s="43">
        <v>30.001000000000001</v>
      </c>
      <c r="B74" s="19" t="s">
        <v>40</v>
      </c>
      <c r="C74" s="23">
        <v>1.5</v>
      </c>
      <c r="D74" s="24" t="str">
        <f>IF(Calculator!$D$5&gt;15, Data!R74,Data!K74)</f>
        <v>#</v>
      </c>
      <c r="E74" s="24" t="str">
        <f>IF(Calculator!$D$5&gt;15, Data!S74,Data!L74)</f>
        <v>#</v>
      </c>
      <c r="F74" s="24" t="str">
        <f>IF(Calculator!$D$5&gt;15, Data!T74,Data!M74)</f>
        <v>#</v>
      </c>
      <c r="G74" s="24" t="str">
        <f>IF(Calculator!$D$5&gt;15, Data!U74,Data!N74)</f>
        <v>#</v>
      </c>
      <c r="H74" s="24">
        <f>IF(Calculator!$D$5&gt;15, Data!V74,Data!O74)</f>
        <v>1.33</v>
      </c>
      <c r="I74" s="61">
        <v>1.5</v>
      </c>
      <c r="J74" s="19">
        <v>30.001000000000001</v>
      </c>
      <c r="K74" s="19" t="s">
        <v>40</v>
      </c>
      <c r="L74" s="19" t="s">
        <v>40</v>
      </c>
      <c r="M74" s="19" t="s">
        <v>40</v>
      </c>
      <c r="N74" s="19" t="s">
        <v>40</v>
      </c>
      <c r="O74" s="19">
        <v>1.33</v>
      </c>
      <c r="Q74" s="19">
        <v>30.001000000000001</v>
      </c>
      <c r="R74" s="19" t="s">
        <v>40</v>
      </c>
      <c r="S74" s="19" t="s">
        <v>40</v>
      </c>
      <c r="T74" s="19" t="s">
        <v>40</v>
      </c>
      <c r="U74" s="19" t="s">
        <v>40</v>
      </c>
      <c r="V74" s="19">
        <v>1.36</v>
      </c>
    </row>
    <row r="75" spans="1:22" x14ac:dyDescent="0.35">
      <c r="A75" s="43">
        <v>33</v>
      </c>
      <c r="B75" s="19" t="s">
        <v>40</v>
      </c>
      <c r="C75" s="23">
        <v>1.5</v>
      </c>
      <c r="D75" s="24" t="str">
        <f>IF(Calculator!$D$5&gt;15, Data!R75,Data!K75)</f>
        <v>#</v>
      </c>
      <c r="E75" s="24" t="str">
        <f>IF(Calculator!$D$5&gt;15, Data!S75,Data!L75)</f>
        <v>#</v>
      </c>
      <c r="F75" s="24" t="str">
        <f>IF(Calculator!$D$5&gt;15, Data!T75,Data!M75)</f>
        <v>#</v>
      </c>
      <c r="G75" s="24" t="str">
        <f>IF(Calculator!$D$5&gt;15, Data!U75,Data!N75)</f>
        <v>#</v>
      </c>
      <c r="H75" s="24">
        <f>IF(Calculator!$D$5&gt;15, Data!V75,Data!O75)</f>
        <v>1.33</v>
      </c>
      <c r="I75" s="61">
        <v>1.5</v>
      </c>
      <c r="J75" s="19">
        <v>33</v>
      </c>
      <c r="K75" s="19" t="s">
        <v>40</v>
      </c>
      <c r="L75" s="19" t="s">
        <v>40</v>
      </c>
      <c r="M75" s="19" t="s">
        <v>40</v>
      </c>
      <c r="N75" s="19" t="s">
        <v>40</v>
      </c>
      <c r="O75" s="19">
        <v>1.33</v>
      </c>
      <c r="Q75" s="19">
        <v>33</v>
      </c>
      <c r="R75" s="19" t="s">
        <v>40</v>
      </c>
      <c r="S75" s="19" t="s">
        <v>40</v>
      </c>
      <c r="T75" s="19" t="s">
        <v>40</v>
      </c>
      <c r="U75" s="19" t="s">
        <v>40</v>
      </c>
      <c r="V75" s="19">
        <v>1.36</v>
      </c>
    </row>
    <row r="76" spans="1:22" x14ac:dyDescent="0.35">
      <c r="A76" s="43">
        <v>40</v>
      </c>
      <c r="B76" s="19" t="s">
        <v>40</v>
      </c>
      <c r="C76" s="23">
        <v>1.5</v>
      </c>
      <c r="D76" s="24" t="str">
        <f>IF(Calculator!$D$5&gt;15, Data!R76,Data!K76)</f>
        <v>#</v>
      </c>
      <c r="E76" s="24" t="str">
        <f>IF(Calculator!$D$5&gt;15, Data!S76,Data!L76)</f>
        <v>#</v>
      </c>
      <c r="F76" s="24" t="str">
        <f>IF(Calculator!$D$5&gt;15, Data!T76,Data!M76)</f>
        <v>#</v>
      </c>
      <c r="G76" s="24" t="str">
        <f>IF(Calculator!$D$5&gt;15, Data!U76,Data!N76)</f>
        <v>#</v>
      </c>
      <c r="H76" s="24" t="str">
        <f>IF(Calculator!$D$5&gt;15, Data!V76,Data!O76)</f>
        <v>#</v>
      </c>
      <c r="I76" s="61">
        <v>1.5</v>
      </c>
      <c r="J76" s="19">
        <v>40</v>
      </c>
      <c r="K76" s="19" t="s">
        <v>40</v>
      </c>
      <c r="L76" s="19" t="s">
        <v>40</v>
      </c>
      <c r="M76" s="19" t="s">
        <v>40</v>
      </c>
      <c r="N76" s="19" t="s">
        <v>40</v>
      </c>
      <c r="O76" s="19" t="s">
        <v>40</v>
      </c>
      <c r="Q76" s="19">
        <v>40</v>
      </c>
      <c r="R76" s="19" t="s">
        <v>40</v>
      </c>
      <c r="S76" s="19" t="s">
        <v>40</v>
      </c>
      <c r="T76" s="19" t="s">
        <v>40</v>
      </c>
      <c r="U76" s="19" t="s">
        <v>40</v>
      </c>
      <c r="V76" s="19" t="s">
        <v>40</v>
      </c>
    </row>
    <row r="77" spans="1:22" x14ac:dyDescent="0.35">
      <c r="A77" s="57">
        <v>40.000999999999998</v>
      </c>
      <c r="B77" s="19" t="s">
        <v>40</v>
      </c>
      <c r="C77" s="19" t="s">
        <v>40</v>
      </c>
      <c r="D77" s="19" t="s">
        <v>40</v>
      </c>
      <c r="E77" s="19" t="s">
        <v>40</v>
      </c>
      <c r="F77" s="19" t="s">
        <v>40</v>
      </c>
      <c r="G77" s="19" t="s">
        <v>40</v>
      </c>
      <c r="H77" s="19" t="s">
        <v>40</v>
      </c>
      <c r="I77" s="60">
        <v>1.7</v>
      </c>
      <c r="J77" s="3"/>
      <c r="K77" s="3"/>
      <c r="L77" s="3"/>
      <c r="M77" s="3"/>
      <c r="N77" s="3"/>
      <c r="O77" s="3"/>
      <c r="Q77" s="3"/>
      <c r="R77" s="3"/>
      <c r="S77" s="3"/>
      <c r="T77" s="3"/>
      <c r="U77" s="3"/>
      <c r="V77" s="3"/>
    </row>
    <row r="78" spans="1:22" x14ac:dyDescent="0.35">
      <c r="A78" s="57">
        <v>50</v>
      </c>
      <c r="B78" s="19" t="s">
        <v>40</v>
      </c>
      <c r="C78" s="19" t="s">
        <v>40</v>
      </c>
      <c r="D78" s="19" t="s">
        <v>40</v>
      </c>
      <c r="E78" s="19" t="s">
        <v>40</v>
      </c>
      <c r="F78" s="19" t="s">
        <v>40</v>
      </c>
      <c r="G78" s="19" t="s">
        <v>40</v>
      </c>
      <c r="H78" s="19" t="s">
        <v>40</v>
      </c>
      <c r="I78" s="60">
        <v>1.7</v>
      </c>
      <c r="J78" s="3"/>
      <c r="K78" s="3"/>
      <c r="L78" s="3"/>
      <c r="M78" s="3"/>
      <c r="N78" s="3"/>
      <c r="O78" s="3"/>
      <c r="Q78" s="3"/>
      <c r="R78" s="3"/>
      <c r="S78" s="3"/>
      <c r="T78" s="3"/>
      <c r="U78" s="3"/>
      <c r="V78" s="3"/>
    </row>
    <row r="79" spans="1:22" x14ac:dyDescent="0.35">
      <c r="C79" s="25"/>
    </row>
    <row r="80" spans="1:22" x14ac:dyDescent="0.35">
      <c r="B80" s="3" t="s">
        <v>60</v>
      </c>
      <c r="C80" s="25" t="s">
        <v>61</v>
      </c>
    </row>
    <row r="81" spans="1:19" x14ac:dyDescent="0.35">
      <c r="A81" t="s">
        <v>46</v>
      </c>
      <c r="B81" s="3">
        <f>Calculator!D29</f>
        <v>1.7</v>
      </c>
      <c r="C81" s="3">
        <f>(B81-1)/(B81+1)</f>
        <v>0.25925925925925924</v>
      </c>
    </row>
    <row r="82" spans="1:19" x14ac:dyDescent="0.35">
      <c r="A82" t="s">
        <v>47</v>
      </c>
      <c r="B82" s="3">
        <f>Calculator!D12</f>
        <v>1.26</v>
      </c>
      <c r="C82" s="3">
        <f>(B82-1)/(B82+1)</f>
        <v>0.11504424778761063</v>
      </c>
    </row>
    <row r="84" spans="1:19" x14ac:dyDescent="0.35">
      <c r="A84" s="8" t="s">
        <v>147</v>
      </c>
      <c r="J84" s="8" t="s">
        <v>146</v>
      </c>
    </row>
    <row r="85" spans="1:19" x14ac:dyDescent="0.35">
      <c r="A85" t="s">
        <v>34</v>
      </c>
      <c r="B85" s="9">
        <v>1E-8</v>
      </c>
      <c r="J85" t="s">
        <v>129</v>
      </c>
      <c r="K85" s="9">
        <v>1.0000000000000001E-9</v>
      </c>
      <c r="M85" t="s">
        <v>132</v>
      </c>
    </row>
    <row r="86" spans="1:19" x14ac:dyDescent="0.35">
      <c r="A86" t="s">
        <v>75</v>
      </c>
      <c r="B86" s="9">
        <v>6E-9</v>
      </c>
      <c r="J86" s="46" t="s">
        <v>130</v>
      </c>
      <c r="K86" s="9">
        <v>1E-10</v>
      </c>
      <c r="M86" t="s">
        <v>133</v>
      </c>
      <c r="N86" s="11" t="s">
        <v>135</v>
      </c>
      <c r="R86" t="s">
        <v>137</v>
      </c>
      <c r="S86">
        <f>0.89*((Calculator!D7*Calculator!D15/1000)^-0.5)</f>
        <v>3.9802009999496257</v>
      </c>
    </row>
    <row r="87" spans="1:19" x14ac:dyDescent="0.35">
      <c r="A87" t="s">
        <v>3</v>
      </c>
      <c r="B87" s="9">
        <v>4.0000000000000002E-9</v>
      </c>
      <c r="D87" t="s">
        <v>79</v>
      </c>
      <c r="F87">
        <f>HLOOKUP(Calculator!D7,Data!B94:L95,2,FALSE)</f>
        <v>4.25</v>
      </c>
      <c r="J87" s="46" t="s">
        <v>131</v>
      </c>
      <c r="K87" s="9">
        <v>7.0000000000000004E-11</v>
      </c>
      <c r="M87" t="s">
        <v>134</v>
      </c>
      <c r="N87" s="11" t="s">
        <v>136</v>
      </c>
      <c r="R87" t="s">
        <v>137</v>
      </c>
      <c r="S87">
        <f>0.63*((Calculator!D7*Calculator!D15/1000)^-0.2)</f>
        <v>1.1469554479064303</v>
      </c>
    </row>
    <row r="88" spans="1:19" x14ac:dyDescent="0.35">
      <c r="A88" t="s">
        <v>139</v>
      </c>
      <c r="B88" s="35">
        <f>B87*F87</f>
        <v>1.7E-8</v>
      </c>
      <c r="J88" t="s">
        <v>75</v>
      </c>
      <c r="K88" s="9">
        <v>2.5000000000000001E-11</v>
      </c>
      <c r="M88" t="s">
        <v>138</v>
      </c>
      <c r="O88">
        <f>IF(Calculator!D7*Calculator!D15&gt;3200, Data!S87,Data!S86)</f>
        <v>3.9802009999496257</v>
      </c>
    </row>
    <row r="89" spans="1:19" x14ac:dyDescent="0.35">
      <c r="J89" t="s">
        <v>101</v>
      </c>
      <c r="K89" s="9">
        <v>7.9999999999999995E-11</v>
      </c>
      <c r="M89" t="s">
        <v>140</v>
      </c>
      <c r="R89" t="s">
        <v>137</v>
      </c>
      <c r="S89" s="9">
        <f>K89*O88</f>
        <v>3.1841607999597006E-10</v>
      </c>
    </row>
    <row r="90" spans="1:19" ht="15" thickBot="1" x14ac:dyDescent="0.4">
      <c r="A90" t="s">
        <v>141</v>
      </c>
      <c r="B90" s="47">
        <f>IF(OR(Calculator!D11="U2021XA",Calculator!D11="U2022XA",Calculator!D11="U2022XA-H50"), Data!B88, Data!S91)</f>
        <v>1.7E-8</v>
      </c>
      <c r="C90" t="s">
        <v>23</v>
      </c>
      <c r="D90" s="59"/>
      <c r="K90" s="9"/>
      <c r="M90" t="s">
        <v>160</v>
      </c>
      <c r="R90" t="s">
        <v>137</v>
      </c>
      <c r="S90" s="53">
        <f>S89/Calculator!G5</f>
        <v>3.1841607999597007E-7</v>
      </c>
    </row>
    <row r="91" spans="1:19" ht="15.5" thickTop="1" thickBot="1" x14ac:dyDescent="0.4">
      <c r="A91" t="s">
        <v>142</v>
      </c>
      <c r="B91" s="48">
        <f>IF(OR(Calculator!D11="U2021XA",Calculator!D11="U2022XA",Calculator!D11="U2022XA-H50"), Data!B86,Data!K88)</f>
        <v>6E-9</v>
      </c>
      <c r="C91" t="s">
        <v>23</v>
      </c>
      <c r="D91" s="59"/>
      <c r="K91" s="9"/>
      <c r="M91" t="s">
        <v>159</v>
      </c>
      <c r="R91" t="s">
        <v>137</v>
      </c>
      <c r="S91" s="35">
        <f>IF(S90&lt;0.01%, 0.01%*Calculator!G5, Data!S89)</f>
        <v>1.0000000000000001E-7</v>
      </c>
    </row>
    <row r="92" spans="1:19" ht="15.5" thickTop="1" thickBot="1" x14ac:dyDescent="0.4">
      <c r="A92" t="s">
        <v>144</v>
      </c>
      <c r="B92" s="49">
        <f>IF(OR(Calculator!D11="U2021XA",Calculator!D11="U2022XA",Calculator!D11="U2022XA-H50"), Data!B85, Data!N94)</f>
        <v>1E-8</v>
      </c>
      <c r="C92" t="s">
        <v>23</v>
      </c>
      <c r="D92" s="59"/>
      <c r="K92" s="9"/>
      <c r="S92" s="9"/>
    </row>
    <row r="93" spans="1:19" ht="15" thickTop="1" x14ac:dyDescent="0.35">
      <c r="A93" t="s">
        <v>76</v>
      </c>
      <c r="M93" t="s">
        <v>143</v>
      </c>
      <c r="N93">
        <f>IF(Calculator!D6&lt;0.3, Data!K86,Data!K87)</f>
        <v>7.0000000000000004E-11</v>
      </c>
    </row>
    <row r="94" spans="1:19" x14ac:dyDescent="0.35">
      <c r="A94" s="10" t="s">
        <v>15</v>
      </c>
      <c r="B94" s="10">
        <v>1</v>
      </c>
      <c r="C94" s="10">
        <v>2</v>
      </c>
      <c r="D94" s="10">
        <v>4</v>
      </c>
      <c r="E94" s="10">
        <v>8</v>
      </c>
      <c r="F94" s="10">
        <v>16</v>
      </c>
      <c r="G94" s="10">
        <v>32</v>
      </c>
      <c r="H94" s="42">
        <v>64</v>
      </c>
      <c r="I94" s="10">
        <v>128</v>
      </c>
      <c r="J94" s="43">
        <v>256</v>
      </c>
      <c r="K94" s="10">
        <v>512</v>
      </c>
      <c r="L94" s="10">
        <v>1024</v>
      </c>
      <c r="M94" t="s">
        <v>145</v>
      </c>
      <c r="N94" s="9">
        <f>IF(Calculator!D16="Internal Zero", Data!K85, Data!N93)</f>
        <v>7.0000000000000004E-11</v>
      </c>
      <c r="O94" t="s">
        <v>23</v>
      </c>
    </row>
    <row r="95" spans="1:19" x14ac:dyDescent="0.35">
      <c r="A95" s="10" t="s">
        <v>77</v>
      </c>
      <c r="B95" s="10">
        <v>4.25</v>
      </c>
      <c r="C95" s="10">
        <v>2.84</v>
      </c>
      <c r="D95" s="10">
        <v>2.15</v>
      </c>
      <c r="E95" s="10">
        <v>1.52</v>
      </c>
      <c r="F95" s="10">
        <v>1</v>
      </c>
      <c r="G95" s="10">
        <v>0.78</v>
      </c>
      <c r="H95" s="42">
        <v>0.71</v>
      </c>
      <c r="I95" s="10">
        <v>0.52</v>
      </c>
      <c r="J95" s="43">
        <v>0.5</v>
      </c>
      <c r="K95" s="10">
        <v>0.47</v>
      </c>
      <c r="L95" s="10">
        <v>0.42</v>
      </c>
    </row>
    <row r="96" spans="1:19" x14ac:dyDescent="0.35">
      <c r="A96" s="10" t="s">
        <v>78</v>
      </c>
      <c r="B96" s="10">
        <v>5.88</v>
      </c>
      <c r="C96" s="10">
        <v>4</v>
      </c>
      <c r="D96" s="10">
        <v>2.93</v>
      </c>
      <c r="E96" s="10">
        <v>1.89</v>
      </c>
      <c r="F96" s="10">
        <v>1.56</v>
      </c>
      <c r="G96" s="10">
        <v>1</v>
      </c>
      <c r="H96" s="42">
        <v>0.73</v>
      </c>
      <c r="I96" s="10">
        <v>0.55000000000000004</v>
      </c>
      <c r="J96" s="43">
        <v>0.52</v>
      </c>
      <c r="K96" s="10">
        <v>0.48</v>
      </c>
      <c r="L96" s="10">
        <v>0.44</v>
      </c>
    </row>
    <row r="100" spans="1:5" x14ac:dyDescent="0.35">
      <c r="A100" s="65"/>
    </row>
    <row r="101" spans="1:5" x14ac:dyDescent="0.35">
      <c r="A101" s="66" t="s">
        <v>81</v>
      </c>
      <c r="B101" s="66" t="s">
        <v>62</v>
      </c>
    </row>
    <row r="102" spans="1:5" x14ac:dyDescent="0.35">
      <c r="A102" s="10" t="s">
        <v>38</v>
      </c>
      <c r="B102" s="10" t="str">
        <f>IF(OR(Calculator!D6&gt;18, Calculator!D6&lt;0.05), "Invalid input!", " ")</f>
        <v>Invalid input!</v>
      </c>
    </row>
    <row r="103" spans="1:5" x14ac:dyDescent="0.35">
      <c r="A103" s="10" t="s">
        <v>39</v>
      </c>
      <c r="B103" s="10" t="str">
        <f>IF(OR(Calculator!$D$6&gt;40, Calculator!$D$6&lt;0.05), "Invalid input!", " ")</f>
        <v>Invalid input!</v>
      </c>
    </row>
    <row r="104" spans="1:5" x14ac:dyDescent="0.35">
      <c r="A104" s="10" t="s">
        <v>82</v>
      </c>
      <c r="B104" s="10" t="str">
        <f>IF(OR(Calculator!$D$6&gt;6, Calculator!$D$6&lt;0.01), "Invalid input!", " ")</f>
        <v>Invalid input!</v>
      </c>
      <c r="D104" s="59"/>
    </row>
    <row r="105" spans="1:5" x14ac:dyDescent="0.35">
      <c r="A105" s="10" t="s">
        <v>83</v>
      </c>
      <c r="B105" s="10" t="str">
        <f>IF(OR(Calculator!$D$6&gt;6, Calculator!$D$6&lt;0.01), "Invalid input!", " ")</f>
        <v>Invalid input!</v>
      </c>
    </row>
    <row r="106" spans="1:5" x14ac:dyDescent="0.35">
      <c r="A106" s="10" t="s">
        <v>84</v>
      </c>
      <c r="B106" s="10" t="str">
        <f>IF(OR(Calculator!$D$6&gt;18, Calculator!$D$6&lt;0.01), "Invalid input!", " ")</f>
        <v>Invalid input!</v>
      </c>
    </row>
    <row r="107" spans="1:5" x14ac:dyDescent="0.35">
      <c r="A107" s="10" t="s">
        <v>85</v>
      </c>
      <c r="B107" s="10" t="str">
        <f>IF(OR(Calculator!$D$6&gt;18, Calculator!$D$6&lt;0.01), "Invalid input!", " ")</f>
        <v>Invalid input!</v>
      </c>
      <c r="E107" s="27"/>
    </row>
    <row r="108" spans="1:5" x14ac:dyDescent="0.35">
      <c r="A108" s="10" t="s">
        <v>86</v>
      </c>
      <c r="B108" s="10" t="str">
        <f>IF(OR(Calculator!$D$6&gt;33, Calculator!$D$6&lt;0.01), "Invalid input!", " ")</f>
        <v>Invalid input!</v>
      </c>
      <c r="D108" s="16" t="s">
        <v>172</v>
      </c>
      <c r="E108" t="s">
        <v>171</v>
      </c>
    </row>
    <row r="109" spans="1:5" x14ac:dyDescent="0.35">
      <c r="A109" s="57" t="s">
        <v>164</v>
      </c>
      <c r="B109" s="10" t="str">
        <f>IF(OR(Calculator!$D$6&gt;50, Calculator!$D$6&lt;0.05), "Invalid input!", " ")</f>
        <v xml:space="preserve"> </v>
      </c>
    </row>
    <row r="111" spans="1:5" x14ac:dyDescent="0.35">
      <c r="A111" s="66" t="s">
        <v>80</v>
      </c>
      <c r="B111" s="66" t="s">
        <v>69</v>
      </c>
      <c r="C111" s="66" t="s">
        <v>70</v>
      </c>
    </row>
    <row r="112" spans="1:5" x14ac:dyDescent="0.35">
      <c r="A112" s="10" t="s">
        <v>38</v>
      </c>
      <c r="B112" s="10" t="str">
        <f>IF(OR(Calculator!D5&gt;20, Calculator!D5&lt;-35), "Invalid input!", " ")</f>
        <v xml:space="preserve"> </v>
      </c>
      <c r="C112" s="10" t="str">
        <f>IF(OR(Calculator!D5&gt;20, Calculator!D5&lt;-45), "Invalid input!", " ")</f>
        <v xml:space="preserve"> </v>
      </c>
    </row>
    <row r="113" spans="1:19" x14ac:dyDescent="0.35">
      <c r="A113" s="10" t="s">
        <v>39</v>
      </c>
      <c r="B113" s="10" t="str">
        <f>IF(OR(Calculator!$D$5&gt;20, Calculator!$D$5&lt;-35), "Invalid input!", " ")</f>
        <v xml:space="preserve"> </v>
      </c>
      <c r="C113" s="10" t="str">
        <f>IF(OR(Calculator!$D$5&gt;20, Calculator!$D$5&lt;-45), "Invalid input!", " ")</f>
        <v xml:space="preserve"> </v>
      </c>
    </row>
    <row r="114" spans="1:19" x14ac:dyDescent="0.35">
      <c r="A114" s="10" t="s">
        <v>82</v>
      </c>
      <c r="B114" s="10" t="str">
        <f>IF(OR(Calculator!$D$5&gt;26, Calculator!$D$5&lt;-45), "Invalid input!", " ")</f>
        <v xml:space="preserve"> </v>
      </c>
      <c r="C114" s="10" t="str">
        <f>IF(OR(Calculator!$D$5&gt;26, Calculator!$D$5&lt;-70), "Invalid input!", " ")</f>
        <v xml:space="preserve"> </v>
      </c>
    </row>
    <row r="115" spans="1:19" x14ac:dyDescent="0.35">
      <c r="A115" s="10" t="s">
        <v>83</v>
      </c>
      <c r="B115" s="10" t="str">
        <f>IF(OR(Calculator!$D$5&gt;26, Calculator!$D$5&lt;-45), "Invalid input!", " ")</f>
        <v xml:space="preserve"> </v>
      </c>
      <c r="C115" s="10" t="str">
        <f>IF(OR(Calculator!$D$5&gt;26, Calculator!$D$5&lt;-70), "Invalid input!", " ")</f>
        <v xml:space="preserve"> </v>
      </c>
    </row>
    <row r="116" spans="1:19" x14ac:dyDescent="0.35">
      <c r="A116" s="10" t="s">
        <v>84</v>
      </c>
      <c r="B116" s="10" t="str">
        <f>IF(OR(Calculator!$D$5&gt;26, Calculator!$D$5&lt;-45), "Invalid input!", " ")</f>
        <v xml:space="preserve"> </v>
      </c>
      <c r="C116" s="10" t="str">
        <f>IF(OR(Calculator!$D$5&gt;26, Calculator!$D$5&lt;-70), "Invalid input!", " ")</f>
        <v xml:space="preserve"> </v>
      </c>
    </row>
    <row r="117" spans="1:19" x14ac:dyDescent="0.35">
      <c r="A117" s="10" t="s">
        <v>85</v>
      </c>
      <c r="B117" s="10" t="str">
        <f>IF(OR(Calculator!$D$5&gt;26, Calculator!$D$5&lt;-45), "Invalid input!", " ")</f>
        <v xml:space="preserve"> </v>
      </c>
      <c r="C117" s="10" t="str">
        <f>IF(OR(Calculator!$D$5&gt;26, Calculator!$D$5&lt;-70), "Invalid input!", " ")</f>
        <v xml:space="preserve"> </v>
      </c>
    </row>
    <row r="118" spans="1:19" x14ac:dyDescent="0.35">
      <c r="A118" s="10" t="s">
        <v>86</v>
      </c>
      <c r="B118" s="10" t="str">
        <f>IF(OR(Calculator!$D$5&gt;20, Calculator!$D$5&lt;-45), "Invalid input!", " ")</f>
        <v xml:space="preserve"> </v>
      </c>
      <c r="C118" s="10" t="str">
        <f>IF(OR(Calculator!$D$5&gt;20, Calculator!$D$5&lt;-70), "Invalid input!", " ")</f>
        <v xml:space="preserve"> </v>
      </c>
    </row>
    <row r="119" spans="1:19" x14ac:dyDescent="0.35">
      <c r="A119" s="57" t="s">
        <v>164</v>
      </c>
      <c r="B119" s="10" t="str">
        <f>IF(OR(D119="Invalid input!",F119="Invalid input!"),"Invalid input!", " ")</f>
        <v xml:space="preserve"> </v>
      </c>
      <c r="C119" s="10" t="str">
        <f>IF(OR(E119="Invalid input!",F119="Invalid input!"),"Invalid input!", " ")</f>
        <v xml:space="preserve"> </v>
      </c>
      <c r="D119" s="68" t="str">
        <f>IF(OR(Calculator!$D$5&gt;20, Calculator!$D$5&lt;-35), "Invalid input!"," ")</f>
        <v xml:space="preserve"> </v>
      </c>
      <c r="E119" s="68" t="str">
        <f>IF(OR(Calculator!$D$5&gt;20, Calculator!$D$5&lt;-45), "Invalid input!"," ")</f>
        <v xml:space="preserve"> </v>
      </c>
      <c r="F119" s="68" t="str">
        <f>IF(AND(Calculator!$D$5&gt;8, Calculator!$D$6&gt;40), "Invalid input!"," ")</f>
        <v xml:space="preserve"> </v>
      </c>
    </row>
    <row r="120" spans="1:19" x14ac:dyDescent="0.35">
      <c r="D120" t="s">
        <v>168</v>
      </c>
      <c r="E120" t="s">
        <v>169</v>
      </c>
      <c r="F120" t="s">
        <v>170</v>
      </c>
    </row>
    <row r="121" spans="1:19" x14ac:dyDescent="0.35">
      <c r="A121" t="s">
        <v>120</v>
      </c>
      <c r="B121" t="s">
        <v>121</v>
      </c>
      <c r="C121" t="s">
        <v>122</v>
      </c>
    </row>
    <row r="123" spans="1:19" x14ac:dyDescent="0.35">
      <c r="A123" s="8" t="s">
        <v>87</v>
      </c>
    </row>
    <row r="124" spans="1:19" x14ac:dyDescent="0.35">
      <c r="A124" s="8" t="s">
        <v>88</v>
      </c>
      <c r="H124" s="8" t="s">
        <v>69</v>
      </c>
      <c r="I124" s="8" t="s">
        <v>89</v>
      </c>
      <c r="J124" s="8"/>
      <c r="K124" t="s">
        <v>91</v>
      </c>
      <c r="L124" s="8"/>
      <c r="M124" s="8"/>
      <c r="N124" s="8" t="s">
        <v>69</v>
      </c>
      <c r="O124" s="8" t="s">
        <v>90</v>
      </c>
    </row>
    <row r="125" spans="1:19" x14ac:dyDescent="0.35">
      <c r="B125" s="64" t="s">
        <v>82</v>
      </c>
      <c r="C125" s="64" t="s">
        <v>83</v>
      </c>
      <c r="D125" s="64" t="s">
        <v>84</v>
      </c>
      <c r="E125" s="64" t="s">
        <v>85</v>
      </c>
      <c r="F125" s="64" t="s">
        <v>86</v>
      </c>
      <c r="H125" s="64" t="s">
        <v>82</v>
      </c>
      <c r="I125" s="64" t="s">
        <v>83</v>
      </c>
      <c r="J125" s="64" t="s">
        <v>84</v>
      </c>
      <c r="K125" s="65" t="s">
        <v>85</v>
      </c>
      <c r="L125" s="65" t="s">
        <v>86</v>
      </c>
      <c r="M125" s="65"/>
      <c r="N125" s="65" t="s">
        <v>82</v>
      </c>
      <c r="O125" s="65" t="s">
        <v>83</v>
      </c>
      <c r="P125" s="65" t="s">
        <v>84</v>
      </c>
      <c r="Q125" s="65" t="s">
        <v>85</v>
      </c>
      <c r="R125" s="65" t="s">
        <v>86</v>
      </c>
    </row>
    <row r="126" spans="1:19" x14ac:dyDescent="0.35">
      <c r="A126">
        <v>0.01</v>
      </c>
      <c r="B126" s="5">
        <v>4.3999999999999997E-2</v>
      </c>
      <c r="C126" s="5">
        <v>4.3999999999999997E-2</v>
      </c>
      <c r="D126" s="33">
        <v>4.3999999999999997E-2</v>
      </c>
      <c r="E126" s="33">
        <v>4.3999999999999997E-2</v>
      </c>
      <c r="F126" s="5">
        <v>4.4999999999999998E-2</v>
      </c>
      <c r="G126">
        <v>0.01</v>
      </c>
      <c r="H126" s="16" t="s">
        <v>40</v>
      </c>
      <c r="I126" s="33">
        <v>5.7000000000000002E-2</v>
      </c>
      <c r="J126" s="16" t="s">
        <v>40</v>
      </c>
      <c r="K126" s="33">
        <v>5.7000000000000002E-2</v>
      </c>
      <c r="L126" s="33">
        <v>4.4999999999999998E-2</v>
      </c>
      <c r="M126">
        <v>0.01</v>
      </c>
      <c r="N126" s="16" t="s">
        <v>40</v>
      </c>
      <c r="O126" s="33">
        <v>4.3999999999999997E-2</v>
      </c>
      <c r="P126" s="16" t="s">
        <v>40</v>
      </c>
      <c r="Q126" s="33">
        <v>4.3999999999999997E-2</v>
      </c>
      <c r="R126" s="33">
        <v>4.4999999999999998E-2</v>
      </c>
      <c r="S126" s="16"/>
    </row>
    <row r="127" spans="1:19" x14ac:dyDescent="0.35">
      <c r="A127">
        <v>0.03</v>
      </c>
      <c r="B127" s="5">
        <v>4.3999999999999997E-2</v>
      </c>
      <c r="C127" s="5">
        <v>4.3999999999999997E-2</v>
      </c>
      <c r="D127" s="33">
        <v>4.3999999999999997E-2</v>
      </c>
      <c r="E127" s="33">
        <v>4.3999999999999997E-2</v>
      </c>
      <c r="F127" s="5">
        <v>4.4999999999999998E-2</v>
      </c>
      <c r="G127">
        <v>0.03</v>
      </c>
      <c r="H127" s="16" t="s">
        <v>40</v>
      </c>
      <c r="I127" s="33">
        <v>5.7000000000000002E-2</v>
      </c>
      <c r="J127" s="16" t="s">
        <v>40</v>
      </c>
      <c r="K127" s="33">
        <v>5.7000000000000002E-2</v>
      </c>
      <c r="L127" s="33">
        <v>4.4999999999999998E-2</v>
      </c>
      <c r="M127">
        <v>0.03</v>
      </c>
      <c r="N127" s="16" t="s">
        <v>40</v>
      </c>
      <c r="O127" s="33">
        <v>4.3999999999999997E-2</v>
      </c>
      <c r="P127" s="16" t="s">
        <v>40</v>
      </c>
      <c r="Q127" s="33">
        <v>4.3999999999999997E-2</v>
      </c>
      <c r="R127" s="33">
        <v>4.4999999999999998E-2</v>
      </c>
      <c r="S127" s="16"/>
    </row>
    <row r="128" spans="1:19" x14ac:dyDescent="0.35">
      <c r="A128">
        <v>0.5</v>
      </c>
      <c r="B128" s="5">
        <v>3.6999999999999998E-2</v>
      </c>
      <c r="C128" s="5">
        <v>3.6999999999999998E-2</v>
      </c>
      <c r="D128" s="33">
        <v>3.6999999999999998E-2</v>
      </c>
      <c r="E128" s="33">
        <v>3.6999999999999998E-2</v>
      </c>
      <c r="F128" s="5">
        <v>3.9E-2</v>
      </c>
      <c r="G128">
        <v>0.5</v>
      </c>
      <c r="H128" s="16" t="s">
        <v>40</v>
      </c>
      <c r="I128" s="33">
        <v>5.1999999999999998E-2</v>
      </c>
      <c r="J128" s="16" t="s">
        <v>40</v>
      </c>
      <c r="K128" s="33">
        <v>5.1999999999999998E-2</v>
      </c>
      <c r="L128" s="33">
        <v>4.1000000000000002E-2</v>
      </c>
      <c r="M128">
        <v>0.5</v>
      </c>
      <c r="N128" s="16" t="s">
        <v>40</v>
      </c>
      <c r="O128" s="33">
        <v>3.6999999999999998E-2</v>
      </c>
      <c r="P128" s="16" t="s">
        <v>40</v>
      </c>
      <c r="Q128" s="33">
        <v>3.6999999999999998E-2</v>
      </c>
      <c r="R128" s="33">
        <v>3.9E-2</v>
      </c>
      <c r="S128" s="16"/>
    </row>
    <row r="129" spans="1:19" x14ac:dyDescent="0.35">
      <c r="A129">
        <v>1</v>
      </c>
      <c r="B129" s="5">
        <v>3.6999999999999998E-2</v>
      </c>
      <c r="C129" s="5">
        <v>3.6999999999999998E-2</v>
      </c>
      <c r="D129" s="33">
        <v>3.6999999999999998E-2</v>
      </c>
      <c r="E129" s="33">
        <v>3.6999999999999998E-2</v>
      </c>
      <c r="F129" s="5">
        <v>3.7999999999999999E-2</v>
      </c>
      <c r="G129">
        <v>1</v>
      </c>
      <c r="H129" s="16" t="s">
        <v>40</v>
      </c>
      <c r="I129" s="33">
        <v>5.1999999999999998E-2</v>
      </c>
      <c r="J129" s="16" t="s">
        <v>40</v>
      </c>
      <c r="K129" s="33">
        <v>5.1999999999999998E-2</v>
      </c>
      <c r="L129" s="33">
        <v>3.9E-2</v>
      </c>
      <c r="M129">
        <v>1</v>
      </c>
      <c r="N129" s="16" t="s">
        <v>40</v>
      </c>
      <c r="O129" s="33">
        <v>3.6999999999999998E-2</v>
      </c>
      <c r="P129" s="16" t="s">
        <v>40</v>
      </c>
      <c r="Q129" s="33">
        <v>3.6999999999999998E-2</v>
      </c>
      <c r="R129" s="33">
        <v>3.9E-2</v>
      </c>
      <c r="S129" s="16"/>
    </row>
    <row r="130" spans="1:19" x14ac:dyDescent="0.35">
      <c r="A130">
        <v>6</v>
      </c>
      <c r="B130" s="33">
        <v>3.6999999999999998E-2</v>
      </c>
      <c r="C130" s="33">
        <v>3.6999999999999998E-2</v>
      </c>
      <c r="D130" s="33">
        <v>3.6999999999999998E-2</v>
      </c>
      <c r="E130" s="33">
        <v>3.6999999999999998E-2</v>
      </c>
      <c r="F130" s="5">
        <v>3.9E-2</v>
      </c>
      <c r="G130">
        <v>6</v>
      </c>
      <c r="H130" s="16" t="s">
        <v>40</v>
      </c>
      <c r="I130" s="33">
        <v>5.2999999999999999E-2</v>
      </c>
      <c r="J130" s="16" t="s">
        <v>40</v>
      </c>
      <c r="K130" s="33">
        <v>5.2999999999999999E-2</v>
      </c>
      <c r="L130" s="33">
        <v>0.04</v>
      </c>
      <c r="M130">
        <v>6</v>
      </c>
      <c r="N130" s="16" t="s">
        <v>40</v>
      </c>
      <c r="O130" s="33">
        <v>3.6999999999999998E-2</v>
      </c>
      <c r="P130" s="16" t="s">
        <v>40</v>
      </c>
      <c r="Q130" s="33">
        <v>3.6999999999999998E-2</v>
      </c>
      <c r="R130" s="33">
        <v>0.04</v>
      </c>
      <c r="S130" s="16"/>
    </row>
    <row r="131" spans="1:19" x14ac:dyDescent="0.35">
      <c r="A131">
        <v>10</v>
      </c>
      <c r="B131" s="16" t="s">
        <v>40</v>
      </c>
      <c r="C131" s="16" t="s">
        <v>40</v>
      </c>
      <c r="D131" s="33">
        <v>3.6999999999999998E-2</v>
      </c>
      <c r="E131" s="33">
        <v>3.6999999999999998E-2</v>
      </c>
      <c r="F131" s="5">
        <v>0.04</v>
      </c>
      <c r="G131">
        <v>10</v>
      </c>
      <c r="H131" s="16" t="s">
        <v>40</v>
      </c>
      <c r="I131" s="16" t="s">
        <v>40</v>
      </c>
      <c r="J131" s="16" t="s">
        <v>40</v>
      </c>
      <c r="K131" s="33">
        <v>5.2999999999999999E-2</v>
      </c>
      <c r="L131" s="33">
        <v>4.1000000000000002E-2</v>
      </c>
      <c r="M131">
        <v>10</v>
      </c>
      <c r="N131" s="16" t="s">
        <v>40</v>
      </c>
      <c r="O131" s="16" t="s">
        <v>40</v>
      </c>
      <c r="P131" s="16" t="s">
        <v>40</v>
      </c>
      <c r="Q131" s="33">
        <v>3.6999999999999998E-2</v>
      </c>
      <c r="R131" s="33">
        <v>4.1000000000000002E-2</v>
      </c>
      <c r="S131" s="16"/>
    </row>
    <row r="132" spans="1:19" x14ac:dyDescent="0.35">
      <c r="A132">
        <v>18</v>
      </c>
      <c r="B132" s="16" t="s">
        <v>40</v>
      </c>
      <c r="C132" s="16" t="s">
        <v>40</v>
      </c>
      <c r="D132" s="33">
        <v>0.04</v>
      </c>
      <c r="E132" s="33">
        <v>0.04</v>
      </c>
      <c r="F132" s="5">
        <v>4.2000000000000003E-2</v>
      </c>
      <c r="G132">
        <v>18</v>
      </c>
      <c r="H132" s="16" t="s">
        <v>40</v>
      </c>
      <c r="I132" s="16" t="s">
        <v>40</v>
      </c>
      <c r="J132" s="16" t="s">
        <v>40</v>
      </c>
      <c r="K132" s="33">
        <v>5.3999999999999999E-2</v>
      </c>
      <c r="L132" s="33">
        <v>4.2999999999999997E-2</v>
      </c>
      <c r="M132">
        <v>18</v>
      </c>
      <c r="N132" s="16" t="s">
        <v>40</v>
      </c>
      <c r="O132" s="16" t="s">
        <v>40</v>
      </c>
      <c r="P132" s="16" t="s">
        <v>40</v>
      </c>
      <c r="Q132" s="33">
        <v>0.04</v>
      </c>
      <c r="R132" s="33">
        <v>4.2000000000000003E-2</v>
      </c>
      <c r="S132" s="16"/>
    </row>
    <row r="133" spans="1:19" x14ac:dyDescent="0.35">
      <c r="A133">
        <v>26.5</v>
      </c>
      <c r="B133" s="16" t="s">
        <v>40</v>
      </c>
      <c r="C133" s="16" t="s">
        <v>40</v>
      </c>
      <c r="D133" s="16" t="s">
        <v>40</v>
      </c>
      <c r="E133" s="16" t="s">
        <v>40</v>
      </c>
      <c r="F133" s="5">
        <v>4.9000000000000002E-2</v>
      </c>
      <c r="G133">
        <v>26.5</v>
      </c>
      <c r="H133" s="16" t="s">
        <v>40</v>
      </c>
      <c r="I133" s="16" t="s">
        <v>40</v>
      </c>
      <c r="J133" s="16" t="s">
        <v>40</v>
      </c>
      <c r="K133" s="16" t="s">
        <v>40</v>
      </c>
      <c r="L133" s="33">
        <v>0.05</v>
      </c>
      <c r="M133">
        <v>26.5</v>
      </c>
      <c r="N133" s="16" t="s">
        <v>40</v>
      </c>
      <c r="O133" s="16" t="s">
        <v>40</v>
      </c>
      <c r="P133" s="16" t="s">
        <v>40</v>
      </c>
      <c r="Q133" s="16" t="s">
        <v>40</v>
      </c>
      <c r="R133" s="33">
        <v>4.9000000000000002E-2</v>
      </c>
      <c r="S133" s="16"/>
    </row>
    <row r="134" spans="1:19" x14ac:dyDescent="0.35">
      <c r="A134">
        <v>33</v>
      </c>
      <c r="B134" s="16" t="s">
        <v>40</v>
      </c>
      <c r="C134" s="16" t="s">
        <v>40</v>
      </c>
      <c r="D134" s="16" t="s">
        <v>40</v>
      </c>
      <c r="E134" s="16" t="s">
        <v>40</v>
      </c>
      <c r="F134" s="5">
        <v>5.6000000000000001E-2</v>
      </c>
      <c r="G134">
        <v>33</v>
      </c>
      <c r="H134" s="16" t="s">
        <v>40</v>
      </c>
      <c r="I134" s="16" t="s">
        <v>40</v>
      </c>
      <c r="J134" s="16" t="s">
        <v>40</v>
      </c>
      <c r="K134" s="16" t="s">
        <v>40</v>
      </c>
      <c r="L134" s="33">
        <v>5.7000000000000002E-2</v>
      </c>
      <c r="M134">
        <v>33</v>
      </c>
      <c r="N134" s="16" t="s">
        <v>40</v>
      </c>
      <c r="O134" s="16" t="s">
        <v>40</v>
      </c>
      <c r="P134" s="16" t="s">
        <v>40</v>
      </c>
      <c r="Q134" s="16" t="s">
        <v>40</v>
      </c>
      <c r="R134" s="33">
        <v>5.6000000000000001E-2</v>
      </c>
      <c r="S134" s="16"/>
    </row>
    <row r="135" spans="1:19" x14ac:dyDescent="0.35">
      <c r="A135" s="8" t="s">
        <v>69</v>
      </c>
    </row>
    <row r="136" spans="1:19" ht="15" thickBot="1" x14ac:dyDescent="0.4">
      <c r="B136" s="64" t="s">
        <v>82</v>
      </c>
      <c r="C136" s="64" t="s">
        <v>83</v>
      </c>
      <c r="D136" s="64" t="s">
        <v>84</v>
      </c>
      <c r="E136" s="64" t="s">
        <v>85</v>
      </c>
      <c r="F136" s="64" t="s">
        <v>86</v>
      </c>
      <c r="H136" s="15" t="s">
        <v>124</v>
      </c>
      <c r="J136" s="37" t="e">
        <f>IF(Calculator!D10="Average only mode",INDEX(Data!A125:F134,MATCH(Calculator!D6,Data!A125:A134,1),MATCH(Calculator!D11,Data!A125:F125,0)),INDEX(A136:F145,MATCH(Calculator!D6,Data!A136:A145,1),MATCH(Calculator!D11,Data!A136:F136,0)))</f>
        <v>#N/A</v>
      </c>
    </row>
    <row r="137" spans="1:19" ht="15" thickTop="1" x14ac:dyDescent="0.35">
      <c r="A137">
        <v>0.01</v>
      </c>
      <c r="B137" s="33" t="str">
        <f>IF(OR(Calculator!$D$8="Off",Calculator!$D$8="High"), IF(Calculator!$D$17="No", Data!H126, Data!H126+1.6%), Data!N126)</f>
        <v>#</v>
      </c>
      <c r="C137" s="33">
        <f>IF(OR(Calculator!$D$8="Off",Calculator!$D$8="High"), IF(Calculator!$D$17="No", Data!I126, Data!I126+1.6%), Data!O126)</f>
        <v>5.7000000000000002E-2</v>
      </c>
      <c r="D137" s="33" t="str">
        <f>IF(OR(Calculator!$D$8="Off",Calculator!$D$8="High"), IF(Calculator!$D$17="No", Data!J126, Data!J126+1.6%), Data!P126)</f>
        <v>#</v>
      </c>
      <c r="E137" s="33">
        <f>IF(OR(Calculator!$D$8="Off",Calculator!$D$8="High"), IF(Calculator!$D$17="No", Data!K126, Data!K126+1.6%), Data!Q126)</f>
        <v>5.7000000000000002E-2</v>
      </c>
      <c r="F137" s="33">
        <f>IF(OR(Calculator!$D$8="Off",Calculator!$D$8="High"), IF(Calculator!$D$17="No", Data!L126, Data!L126+1.6%), Data!R126)</f>
        <v>4.4999999999999998E-2</v>
      </c>
    </row>
    <row r="138" spans="1:19" x14ac:dyDescent="0.35">
      <c r="A138">
        <v>0.03</v>
      </c>
      <c r="B138" s="33" t="str">
        <f>IF(OR(Calculator!$D$8="Off",Calculator!$D$8="High"), IF(Calculator!$D$17="No", Data!H127, Data!H127+1.6%), Data!N127)</f>
        <v>#</v>
      </c>
      <c r="C138" s="33">
        <f>IF(OR(Calculator!$D$8="Off",Calculator!$D$8="High"), IF(Calculator!$D$17="No", Data!I127, Data!I127+1.6%), Data!O127)</f>
        <v>5.7000000000000002E-2</v>
      </c>
      <c r="D138" s="33" t="str">
        <f>IF(OR(Calculator!$D$8="Off",Calculator!$D$8="High"), IF(Calculator!$D$17="No", Data!J127, Data!J127+1.6%), Data!P127)</f>
        <v>#</v>
      </c>
      <c r="E138" s="33">
        <f>IF(OR(Calculator!$D$8="Off",Calculator!$D$8="High"), IF(Calculator!$D$17="No", Data!K127, Data!K127+1.6%), Data!Q127)</f>
        <v>5.7000000000000002E-2</v>
      </c>
      <c r="F138" s="33">
        <f>IF(OR(Calculator!$D$8="Off",Calculator!$D$8="High"), IF(Calculator!$D$17="No", Data!L127, Data!L127+1.6%), Data!R127)</f>
        <v>4.4999999999999998E-2</v>
      </c>
    </row>
    <row r="139" spans="1:19" x14ac:dyDescent="0.35">
      <c r="A139">
        <v>0.5</v>
      </c>
      <c r="B139" s="33" t="str">
        <f>IF(OR(Calculator!$D$8="Off",Calculator!$D$8="High"), IF(Calculator!$D$17="No", Data!H128, Data!H128+1.6%), Data!N128)</f>
        <v>#</v>
      </c>
      <c r="C139" s="33">
        <f>IF(OR(Calculator!$D$8="Off",Calculator!$D$8="High"), IF(Calculator!$D$17="No", Data!I128, Data!I128+1.6%), Data!O128)</f>
        <v>5.1999999999999998E-2</v>
      </c>
      <c r="D139" s="33" t="str">
        <f>IF(OR(Calculator!$D$8="Off",Calculator!$D$8="High"), IF(Calculator!$D$17="No", Data!J128, Data!J128+1.6%), Data!P128)</f>
        <v>#</v>
      </c>
      <c r="E139" s="33">
        <f>IF(OR(Calculator!$D$8="Off",Calculator!$D$8="High"), IF(Calculator!$D$17="No", Data!K128, Data!K128+1.6%), Data!Q128)</f>
        <v>5.1999999999999998E-2</v>
      </c>
      <c r="F139" s="33">
        <f>IF(OR(Calculator!$D$8="Off",Calculator!$D$8="High"), IF(Calculator!$D$17="No", Data!L128, Data!L128+1.6%), Data!R128)</f>
        <v>4.1000000000000002E-2</v>
      </c>
    </row>
    <row r="140" spans="1:19" x14ac:dyDescent="0.35">
      <c r="A140">
        <v>1</v>
      </c>
      <c r="B140" s="33" t="str">
        <f>IF(OR(Calculator!$D$8="Off",Calculator!$D$8="High"), IF(Calculator!$D$17="No", Data!H129, Data!H129+1.6%), Data!N129)</f>
        <v>#</v>
      </c>
      <c r="C140" s="33">
        <f>IF(OR(Calculator!$D$8="Off",Calculator!$D$8="High"), IF(Calculator!$D$17="No", Data!I129, Data!I129+1.6%), Data!O129)</f>
        <v>5.1999999999999998E-2</v>
      </c>
      <c r="D140" s="33" t="str">
        <f>IF(OR(Calculator!$D$8="Off",Calculator!$D$8="High"), IF(Calculator!$D$17="No", Data!J129, Data!J129+1.6%), Data!P129)</f>
        <v>#</v>
      </c>
      <c r="E140" s="33">
        <f>IF(OR(Calculator!$D$8="Off",Calculator!$D$8="High"), IF(Calculator!$D$17="No", Data!K129, Data!K129+1.6%), Data!Q129)</f>
        <v>5.1999999999999998E-2</v>
      </c>
      <c r="F140" s="33">
        <f>IF(OR(Calculator!$D$8="Off",Calculator!$D$8="High"), IF(Calculator!$D$17="No", Data!L129, Data!L129+1.6%), Data!R129)</f>
        <v>3.9E-2</v>
      </c>
    </row>
    <row r="141" spans="1:19" x14ac:dyDescent="0.35">
      <c r="A141">
        <v>6</v>
      </c>
      <c r="B141" s="33" t="str">
        <f>IF(OR(Calculator!$D$8="Off",Calculator!$D$8="High"), IF(Calculator!$D$17="No", Data!H130, Data!H130+1.6%), Data!N130)</f>
        <v>#</v>
      </c>
      <c r="C141" s="33">
        <f>IF(OR(Calculator!$D$8="Off",Calculator!$D$8="High"), IF(Calculator!$D$17="No", Data!I130, Data!I130+1.6%), Data!O130)</f>
        <v>5.2999999999999999E-2</v>
      </c>
      <c r="D141" s="33" t="str">
        <f>IF(OR(Calculator!$D$8="Off",Calculator!$D$8="High"), IF(Calculator!$D$17="No", Data!J130, Data!J130+1.6%), Data!P130)</f>
        <v>#</v>
      </c>
      <c r="E141" s="33">
        <f>IF(OR(Calculator!$D$8="Off",Calculator!$D$8="High"), IF(Calculator!$D$17="No", Data!K130, Data!K130+1.6%), Data!Q130)</f>
        <v>5.2999999999999999E-2</v>
      </c>
      <c r="F141" s="33">
        <f>IF(OR(Calculator!$D$8="Off",Calculator!$D$8="High"), IF(Calculator!$D$17="No", Data!L130, Data!L130+1.6%), Data!R130)</f>
        <v>0.04</v>
      </c>
    </row>
    <row r="142" spans="1:19" x14ac:dyDescent="0.35">
      <c r="A142">
        <v>10</v>
      </c>
      <c r="B142" s="33" t="str">
        <f>IF(OR(Calculator!$D$8="Off",Calculator!$D$8="High"), IF(Calculator!$D$17="No", Data!H131, Data!H131+1.6%), Data!N131)</f>
        <v>#</v>
      </c>
      <c r="C142" s="33" t="str">
        <f>IF(OR(Calculator!$D$8="Off",Calculator!$D$8="High"), IF(Calculator!$D$17="No", Data!I131, Data!I131+1.6%), Data!O131)</f>
        <v>#</v>
      </c>
      <c r="D142" s="33" t="str">
        <f>IF(OR(Calculator!$D$8="Off",Calculator!$D$8="High"), IF(Calculator!$D$17="No", Data!J131, Data!J131+1.6%), Data!P131)</f>
        <v>#</v>
      </c>
      <c r="E142" s="33">
        <f>IF(OR(Calculator!$D$8="Off",Calculator!$D$8="High"), IF(Calculator!$D$17="No", Data!K131, Data!K131+1.6%), Data!Q131)</f>
        <v>5.2999999999999999E-2</v>
      </c>
      <c r="F142" s="33">
        <f>IF(OR(Calculator!$D$8="Off",Calculator!$D$8="High"), IF(Calculator!$D$17="No", Data!L131, Data!L131+1.6%), Data!R131)</f>
        <v>4.1000000000000002E-2</v>
      </c>
    </row>
    <row r="143" spans="1:19" x14ac:dyDescent="0.35">
      <c r="A143">
        <v>18</v>
      </c>
      <c r="B143" s="33" t="str">
        <f>IF(OR(Calculator!$D$8="Off",Calculator!$D$8="High"), IF(Calculator!$D$17="No", Data!H132, Data!H132+1.6%), Data!N132)</f>
        <v>#</v>
      </c>
      <c r="C143" s="33" t="str">
        <f>IF(OR(Calculator!$D$8="Off",Calculator!$D$8="High"), IF(Calculator!$D$17="No", Data!I132, Data!I132+1.6%), Data!O132)</f>
        <v>#</v>
      </c>
      <c r="D143" s="33" t="str">
        <f>IF(OR(Calculator!$D$8="Off",Calculator!$D$8="High"), IF(Calculator!$D$17="No", Data!J132, Data!J132+1.6%), Data!P132)</f>
        <v>#</v>
      </c>
      <c r="E143" s="33">
        <f>IF(OR(Calculator!$D$8="Off",Calculator!$D$8="High"), IF(Calculator!$D$17="No", Data!K132, Data!K132+1.6%), Data!Q132)</f>
        <v>5.3999999999999999E-2</v>
      </c>
      <c r="F143" s="33">
        <f>IF(OR(Calculator!$D$8="Off",Calculator!$D$8="High"), IF(Calculator!$D$17="No", Data!L132, Data!L132+1.6%), Data!R132)</f>
        <v>4.2999999999999997E-2</v>
      </c>
    </row>
    <row r="144" spans="1:19" x14ac:dyDescent="0.35">
      <c r="A144">
        <v>26.5</v>
      </c>
      <c r="B144" s="33" t="str">
        <f>IF(OR(Calculator!$D$8="Off",Calculator!$D$8="High"), IF(Calculator!$D$17="No", Data!H133, Data!H133+1.6%), Data!N133)</f>
        <v>#</v>
      </c>
      <c r="C144" s="33" t="str">
        <f>IF(OR(Calculator!$D$8="Off",Calculator!$D$8="High"), IF(Calculator!$D$17="No", Data!I133, Data!I133+1.6%), Data!O133)</f>
        <v>#</v>
      </c>
      <c r="D144" s="33" t="str">
        <f>IF(OR(Calculator!$D$8="Off",Calculator!$D$8="High"), IF(Calculator!$D$17="No", Data!J133, Data!J133+1.6%), Data!P133)</f>
        <v>#</v>
      </c>
      <c r="E144" s="33" t="str">
        <f>IF(OR(Calculator!$D$8="Off",Calculator!$D$8="High"), IF(Calculator!$D$17="No", Data!K133, Data!K133+1.6%), Data!Q133)</f>
        <v>#</v>
      </c>
      <c r="F144" s="33">
        <f>IF(OR(Calculator!$D$8="Off",Calculator!$D$8="High"), IF(Calculator!$D$17="No", Data!L133, Data!L133+1.6%), Data!R133)</f>
        <v>0.05</v>
      </c>
    </row>
    <row r="145" spans="1:6" x14ac:dyDescent="0.35">
      <c r="A145">
        <v>33</v>
      </c>
      <c r="B145" s="33" t="str">
        <f>IF(OR(Calculator!$D$8="Off",Calculator!$D$8="High"), IF(Calculator!$D$17="No", Data!H134, Data!H134+1.6%), Data!N134)</f>
        <v>#</v>
      </c>
      <c r="C145" s="33" t="str">
        <f>IF(OR(Calculator!$D$8="Off",Calculator!$D$8="High"), IF(Calculator!$D$17="No", Data!I134, Data!I134+1.6%), Data!O134)</f>
        <v>#</v>
      </c>
      <c r="D145" s="33" t="str">
        <f>IF(OR(Calculator!$D$8="Off",Calculator!$D$8="High"), IF(Calculator!$D$17="No", Data!J134, Data!J134+1.6%), Data!P134)</f>
        <v>#</v>
      </c>
      <c r="E145" s="33" t="str">
        <f>IF(OR(Calculator!$D$8="Off",Calculator!$D$8="High"), IF(Calculator!$D$17="No", Data!K134, Data!K134+1.6%), Data!Q134)</f>
        <v>#</v>
      </c>
      <c r="F145" s="33">
        <f>IF(OR(Calculator!$D$8="Off",Calculator!$D$8="High"), IF(Calculator!$D$17="No", Data!L134, Data!L134+1.6%), Data!R134)</f>
        <v>5.7000000000000002E-2</v>
      </c>
    </row>
  </sheetData>
  <mergeCells count="1">
    <mergeCell ref="I32:L3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6"/>
  <sheetViews>
    <sheetView workbookViewId="0">
      <selection activeCell="B7" sqref="B7"/>
    </sheetView>
  </sheetViews>
  <sheetFormatPr defaultColWidth="9.1796875" defaultRowHeight="14.5" x14ac:dyDescent="0.35"/>
  <cols>
    <col min="1" max="1" width="7.453125" customWidth="1"/>
    <col min="2" max="2" width="11" customWidth="1"/>
    <col min="3" max="3" width="69.81640625" customWidth="1"/>
  </cols>
  <sheetData>
    <row r="1" spans="1:3" x14ac:dyDescent="0.35">
      <c r="A1" s="8" t="s">
        <v>71</v>
      </c>
    </row>
    <row r="2" spans="1:3" x14ac:dyDescent="0.35">
      <c r="A2" t="s">
        <v>72</v>
      </c>
      <c r="B2" s="26">
        <v>41204</v>
      </c>
      <c r="C2" t="s">
        <v>153</v>
      </c>
    </row>
    <row r="3" spans="1:3" x14ac:dyDescent="0.35">
      <c r="A3" t="s">
        <v>73</v>
      </c>
      <c r="B3" s="26">
        <v>41677</v>
      </c>
      <c r="C3" t="s">
        <v>74</v>
      </c>
    </row>
    <row r="4" spans="1:3" x14ac:dyDescent="0.35">
      <c r="A4" t="s">
        <v>151</v>
      </c>
      <c r="B4" s="26">
        <v>42333</v>
      </c>
      <c r="C4" t="s">
        <v>152</v>
      </c>
    </row>
    <row r="5" spans="1:3" x14ac:dyDescent="0.35">
      <c r="A5" t="s">
        <v>162</v>
      </c>
      <c r="B5" s="26">
        <v>42985</v>
      </c>
      <c r="C5" t="s">
        <v>163</v>
      </c>
    </row>
    <row r="6" spans="1:3" x14ac:dyDescent="0.35">
      <c r="A6" t="s">
        <v>166</v>
      </c>
      <c r="B6" s="26">
        <v>45435</v>
      </c>
      <c r="C6" t="s">
        <v>167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Calculator</vt:lpstr>
      <vt:lpstr>Data</vt:lpstr>
      <vt:lpstr>Revision history</vt:lpstr>
      <vt:lpstr>averaging</vt:lpstr>
      <vt:lpstr>noise</vt:lpstr>
      <vt:lpstr>sensor</vt:lpstr>
      <vt:lpstr>VBW</vt:lpstr>
    </vt:vector>
  </TitlesOfParts>
  <Company>Agilent Technologies,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sookhua</dc:creator>
  <cp:lastModifiedBy>Chin-Aik Lee</cp:lastModifiedBy>
  <dcterms:created xsi:type="dcterms:W3CDTF">2012-10-01T08:09:35Z</dcterms:created>
  <dcterms:modified xsi:type="dcterms:W3CDTF">2024-05-23T03:43:05Z</dcterms:modified>
</cp:coreProperties>
</file>